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G:\MHCC New Website Documents\CHCF\cert_of_need\CON Applications\Filed 2015\2367 - Sheppard Pratt-Elkridge\Modificaiton June 2021\"/>
    </mc:Choice>
  </mc:AlternateContent>
  <xr:revisionPtr revIDLastSave="0" documentId="8_{1D103C2B-AA18-4FF1-9BE1-A252E54B9D75}" xr6:coauthVersionLast="47" xr6:coauthVersionMax="47" xr10:uidLastSave="{00000000-0000-0000-0000-000000000000}"/>
  <bookViews>
    <workbookView xWindow="-120" yWindow="-120" windowWidth="29040" windowHeight="15840" xr2:uid="{00000000-000D-0000-FFFF-FFFF00000000}"/>
  </bookViews>
  <sheets>
    <sheet name="E. Project Budget" sheetId="1" r:id="rId1"/>
    <sheet name="G. Entire Facility - Uninfl" sheetId="3" r:id="rId2"/>
    <sheet name="H. Entire Facility - Inflat" sheetId="4" r:id="rId3"/>
  </sheets>
  <definedNames>
    <definedName name="Download_Labor_Fiscal_YTD">#REF!</definedName>
    <definedName name="EC">#REF!</definedName>
    <definedName name="frostsal" localSheetId="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frostsal"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hosp2" localSheetId="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hosp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i" localSheetId="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i"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new" localSheetId="2" hidden="1">{#N/A,#N/A,FALSE,"S_Title";#N/A,#N/A,FALSE,"S_Diss";#N/A,#N/A,FALSE,"Net Income";#N/A,#N/A,FALSE,"In_V&amp;R";#N/A,#N/A,FALSE,"Out V&amp;R";#N/A,#N/A,FALSE,"outpatient";#N/A,#N/A,FALSE,"S_UnComp (2)";#N/A,#N/A,FALSE,"Sup&amp;FTE"}</definedName>
    <definedName name="new" hidden="1">{#N/A,#N/A,FALSE,"S_Title";#N/A,#N/A,FALSE,"S_Diss";#N/A,#N/A,FALSE,"Net Income";#N/A,#N/A,FALSE,"In_V&amp;R";#N/A,#N/A,FALSE,"Out V&amp;R";#N/A,#N/A,FALSE,"outpatient";#N/A,#N/A,FALSE,"S_UnComp (2)";#N/A,#N/A,FALSE,"Sup&amp;FTE"}</definedName>
    <definedName name="oakmontatfrost" localSheetId="2" hidden="1">{#N/A,#N/A,FALSE,"S_Title";#N/A,#N/A,FALSE,"S_Diss";#N/A,#N/A,FALSE,"Net Income";#N/A,#N/A,FALSE,"In_V&amp;R";#N/A,#N/A,FALSE,"Out V&amp;R";#N/A,#N/A,FALSE,"outpatient";#N/A,#N/A,FALSE,"S_UnComp (2)";#N/A,#N/A,FALSE,"Sup&amp;FTE"}</definedName>
    <definedName name="oakmontatfrost" hidden="1">{#N/A,#N/A,FALSE,"S_Title";#N/A,#N/A,FALSE,"S_Diss";#N/A,#N/A,FALSE,"Net Income";#N/A,#N/A,FALSE,"In_V&amp;R";#N/A,#N/A,FALSE,"Out V&amp;R";#N/A,#N/A,FALSE,"outpatient";#N/A,#N/A,FALSE,"S_UnComp (2)";#N/A,#N/A,FALSE,"Sup&amp;FTE"}</definedName>
    <definedName name="_xlnm.Print_Area" localSheetId="0">'E. Project Budget'!$A$1:$K$72</definedName>
    <definedName name="_xlnm.Print_Area" localSheetId="1">'G. Entire Facility - Uninfl'!$A$5:$M$54</definedName>
    <definedName name="_xlnm.Print_Area" localSheetId="2">'H. Entire Facility - Inflat'!$A$5:$M$54</definedName>
    <definedName name="_xlnm.Print_Titles" localSheetId="0">'E. Project Budget'!$1:$4</definedName>
    <definedName name="_xlnm.Print_Titles" localSheetId="1">'G. Entire Facility - Uninfl'!$1:$4</definedName>
    <definedName name="_xlnm.Print_Titles" localSheetId="2">'H. Entire Facility - Inflat'!$1:$4</definedName>
    <definedName name="prod" localSheetId="2" hidden="1">{#N/A,#N/A,FALSE,"S_Title";#N/A,#N/A,FALSE,"S_Diss";#N/A,#N/A,FALSE,"Net Income";#N/A,#N/A,FALSE,"In_V&amp;R";#N/A,#N/A,FALSE,"Out V&amp;R";#N/A,#N/A,FALSE,"outpatient";#N/A,#N/A,FALSE,"S_UnComp (2)";#N/A,#N/A,FALSE,"Sup&amp;FTE"}</definedName>
    <definedName name="prod" hidden="1">{#N/A,#N/A,FALSE,"S_Title";#N/A,#N/A,FALSE,"S_Diss";#N/A,#N/A,FALSE,"Net Income";#N/A,#N/A,FALSE,"In_V&amp;R";#N/A,#N/A,FALSE,"Out V&amp;R";#N/A,#N/A,FALSE,"outpatient";#N/A,#N/A,FALSE,"S_UnComp (2)";#N/A,#N/A,FALSE,"Sup&amp;FTE"}</definedName>
    <definedName name="tt" localSheetId="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tt"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wrn.gcmp." localSheetId="2" hidden="1">{#N/A,#N/A,FALSE,"items to be completed";#N/A,#N/A,FALSE,"hosp net income";#N/A,#N/A,FALSE,"pa net inc";#N/A,#N/A,FALSE,"In_V&amp;R";#N/A,#N/A,FALSE,"pa inpatient";#N/A,#N/A,FALSE,"op assumptions";#N/A,#N/A,FALSE,"out r&amp;v pres";#N/A,#N/A,FALSE,"outpatient";#N/A,#N/A,FALSE,"Sup&amp;FTE";#N/A,#N/A,FALSE,"S_UnComp (2)";#N/A,#N/A,FALSE,"S_Title";#N/A,#N/A,FALSE,"S_Title"}</definedName>
    <definedName name="wrn.gcmp." hidden="1">{#N/A,#N/A,FALSE,"items to be completed";#N/A,#N/A,FALSE,"hosp net income";#N/A,#N/A,FALSE,"pa net inc";#N/A,#N/A,FALSE,"In_V&amp;R";#N/A,#N/A,FALSE,"pa inpatient";#N/A,#N/A,FALSE,"op assumptions";#N/A,#N/A,FALSE,"out r&amp;v pres";#N/A,#N/A,FALSE,"outpatient";#N/A,#N/A,FALSE,"Sup&amp;FTE";#N/A,#N/A,FALSE,"S_UnComp (2)";#N/A,#N/A,FALSE,"S_Title";#N/A,#N/A,FALSE,"S_Title"}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 r="J58" i="1"/>
  <c r="J56" i="1"/>
  <c r="J55" i="1"/>
  <c r="J53" i="1"/>
  <c r="J42" i="1"/>
  <c r="J43" i="1"/>
  <c r="J44" i="1"/>
  <c r="K44" i="1" s="1"/>
  <c r="J41" i="1"/>
  <c r="K41" i="1" s="1"/>
  <c r="K43" i="1"/>
  <c r="K35" i="1"/>
  <c r="K34" i="1"/>
  <c r="K31" i="1"/>
  <c r="K30" i="1"/>
  <c r="K27" i="1"/>
  <c r="K26" i="1"/>
  <c r="K22" i="1"/>
  <c r="K12" i="1"/>
  <c r="J35" i="1"/>
  <c r="J34" i="1"/>
  <c r="J33" i="1"/>
  <c r="K33" i="1" s="1"/>
  <c r="J32" i="1"/>
  <c r="K32" i="1" s="1"/>
  <c r="J31" i="1"/>
  <c r="J30" i="1"/>
  <c r="J29" i="1"/>
  <c r="K29" i="1" s="1"/>
  <c r="J28" i="1"/>
  <c r="K28" i="1" s="1"/>
  <c r="J27" i="1"/>
  <c r="J26" i="1"/>
  <c r="J25" i="1"/>
  <c r="J24" i="1"/>
  <c r="K24" i="1" s="1"/>
  <c r="J23" i="1"/>
  <c r="K23" i="1" s="1"/>
  <c r="J22" i="1"/>
  <c r="J13" i="1"/>
  <c r="K13" i="1" s="1"/>
  <c r="J10" i="1"/>
  <c r="J7" i="1"/>
  <c r="H48" i="1"/>
  <c r="H36" i="1"/>
  <c r="H11" i="1"/>
  <c r="J11" i="1" s="1"/>
  <c r="K11" i="1" s="1"/>
  <c r="H9" i="1"/>
  <c r="H14" i="1" s="1"/>
  <c r="H37" i="1" s="1"/>
  <c r="H39" i="1" s="1"/>
  <c r="H50" i="1" s="1"/>
  <c r="J9" i="1" l="1"/>
  <c r="K9" i="1" s="1"/>
  <c r="M9" i="3"/>
  <c r="M31" i="3"/>
  <c r="M46" i="3"/>
  <c r="M54" i="3"/>
  <c r="I57" i="1"/>
  <c r="J57" i="1" s="1"/>
  <c r="I54" i="1"/>
  <c r="M14" i="3" l="1"/>
  <c r="M16" i="3" s="1"/>
  <c r="M33" i="3" s="1"/>
  <c r="M35" i="3" s="1"/>
  <c r="M37" i="3" s="1"/>
  <c r="M30" i="4"/>
  <c r="M9" i="4"/>
  <c r="M14" i="4" s="1"/>
  <c r="M16" i="4" s="1"/>
  <c r="M54" i="4"/>
  <c r="M45" i="4"/>
  <c r="M32" i="4" l="1"/>
  <c r="M34" i="4" s="1"/>
  <c r="M36" i="4" s="1"/>
  <c r="K54" i="4" l="1"/>
  <c r="J54" i="4"/>
  <c r="I54" i="4"/>
  <c r="H54" i="4"/>
  <c r="G54" i="4"/>
  <c r="F54" i="4"/>
  <c r="E54" i="4"/>
  <c r="D54" i="4"/>
  <c r="C54" i="4"/>
  <c r="B54" i="4"/>
  <c r="K45" i="4"/>
  <c r="J45" i="4"/>
  <c r="I45" i="4"/>
  <c r="H45" i="4"/>
  <c r="G45" i="4"/>
  <c r="F45" i="4"/>
  <c r="E45" i="4"/>
  <c r="D45" i="4"/>
  <c r="C45" i="4"/>
  <c r="B45" i="4"/>
  <c r="K30" i="4"/>
  <c r="J30" i="4"/>
  <c r="I30" i="4"/>
  <c r="H30" i="4"/>
  <c r="G30" i="4"/>
  <c r="F30" i="4"/>
  <c r="E30" i="4"/>
  <c r="D30" i="4"/>
  <c r="C30" i="4"/>
  <c r="B30" i="4"/>
  <c r="K13" i="4"/>
  <c r="J13" i="4"/>
  <c r="I13" i="4"/>
  <c r="H13" i="4"/>
  <c r="K9" i="4"/>
  <c r="K14" i="4" s="1"/>
  <c r="K16" i="4" s="1"/>
  <c r="K32" i="4" s="1"/>
  <c r="K34" i="4" s="1"/>
  <c r="K36" i="4" s="1"/>
  <c r="J9" i="4"/>
  <c r="J14" i="4" s="1"/>
  <c r="J16" i="4" s="1"/>
  <c r="J32" i="4" s="1"/>
  <c r="J34" i="4" s="1"/>
  <c r="J36" i="4" s="1"/>
  <c r="I9" i="4"/>
  <c r="H9" i="4"/>
  <c r="G9" i="4"/>
  <c r="G14" i="4" s="1"/>
  <c r="G16" i="4" s="1"/>
  <c r="G32" i="4" s="1"/>
  <c r="G34" i="4" s="1"/>
  <c r="G36" i="4" s="1"/>
  <c r="F9" i="4"/>
  <c r="F14" i="4" s="1"/>
  <c r="F16" i="4" s="1"/>
  <c r="F32" i="4" s="1"/>
  <c r="F34" i="4" s="1"/>
  <c r="F36" i="4" s="1"/>
  <c r="E9" i="4"/>
  <c r="E14" i="4" s="1"/>
  <c r="E16" i="4" s="1"/>
  <c r="D9" i="4"/>
  <c r="D14" i="4" s="1"/>
  <c r="D16" i="4" s="1"/>
  <c r="C9" i="4"/>
  <c r="C14" i="4" s="1"/>
  <c r="C16" i="4" s="1"/>
  <c r="C32" i="4" s="1"/>
  <c r="C34" i="4" s="1"/>
  <c r="C36" i="4" s="1"/>
  <c r="B9" i="4"/>
  <c r="B14" i="4" s="1"/>
  <c r="B16" i="4" s="1"/>
  <c r="B32" i="4" s="1"/>
  <c r="B34" i="4" s="1"/>
  <c r="B36" i="4" s="1"/>
  <c r="K54" i="3"/>
  <c r="J54" i="3"/>
  <c r="I54" i="3"/>
  <c r="H54" i="3"/>
  <c r="G54" i="3"/>
  <c r="F54" i="3"/>
  <c r="E54" i="3"/>
  <c r="D54" i="3"/>
  <c r="C54" i="3"/>
  <c r="B54" i="3"/>
  <c r="K46" i="3"/>
  <c r="J46" i="3"/>
  <c r="I46" i="3"/>
  <c r="H46" i="3"/>
  <c r="G46" i="3"/>
  <c r="F46" i="3"/>
  <c r="E46" i="3"/>
  <c r="D46" i="3"/>
  <c r="C46" i="3"/>
  <c r="B46" i="3"/>
  <c r="K31" i="3"/>
  <c r="J31" i="3"/>
  <c r="I31" i="3"/>
  <c r="H31" i="3"/>
  <c r="G31" i="3"/>
  <c r="F31" i="3"/>
  <c r="E31" i="3"/>
  <c r="D31" i="3"/>
  <c r="C31" i="3"/>
  <c r="B31" i="3"/>
  <c r="D14" i="3"/>
  <c r="D16" i="3" s="1"/>
  <c r="C14" i="3"/>
  <c r="C16" i="3" s="1"/>
  <c r="C33" i="3" s="1"/>
  <c r="C35" i="3" s="1"/>
  <c r="C37" i="3" s="1"/>
  <c r="K13" i="3"/>
  <c r="J13" i="3"/>
  <c r="I13" i="3"/>
  <c r="H13" i="3"/>
  <c r="K9" i="3"/>
  <c r="J9" i="3"/>
  <c r="J14" i="3" s="1"/>
  <c r="J16" i="3" s="1"/>
  <c r="J33" i="3" s="1"/>
  <c r="J35" i="3" s="1"/>
  <c r="J37" i="3" s="1"/>
  <c r="I9" i="3"/>
  <c r="I14" i="3" s="1"/>
  <c r="I16" i="3" s="1"/>
  <c r="I33" i="3" s="1"/>
  <c r="I35" i="3" s="1"/>
  <c r="I37" i="3" s="1"/>
  <c r="H9" i="3"/>
  <c r="H14" i="3" s="1"/>
  <c r="H16" i="3" s="1"/>
  <c r="G9" i="3"/>
  <c r="G14" i="3" s="1"/>
  <c r="G16" i="3" s="1"/>
  <c r="G33" i="3" s="1"/>
  <c r="G35" i="3" s="1"/>
  <c r="G37" i="3" s="1"/>
  <c r="F9" i="3"/>
  <c r="F14" i="3" s="1"/>
  <c r="F16" i="3" s="1"/>
  <c r="F33" i="3" s="1"/>
  <c r="F35" i="3" s="1"/>
  <c r="F37" i="3" s="1"/>
  <c r="E9" i="3"/>
  <c r="E14" i="3" s="1"/>
  <c r="E16" i="3" s="1"/>
  <c r="E33" i="3" s="1"/>
  <c r="E35" i="3" s="1"/>
  <c r="E37" i="3" s="1"/>
  <c r="D9" i="3"/>
  <c r="C9" i="3"/>
  <c r="B9" i="3"/>
  <c r="B14" i="3" s="1"/>
  <c r="B16" i="3" s="1"/>
  <c r="B33" i="3" s="1"/>
  <c r="B35" i="3" s="1"/>
  <c r="B37" i="3" s="1"/>
  <c r="K14" i="3" l="1"/>
  <c r="K16" i="3" s="1"/>
  <c r="K33" i="3" s="1"/>
  <c r="K35" i="3" s="1"/>
  <c r="K37" i="3" s="1"/>
  <c r="D32" i="4"/>
  <c r="D34" i="4" s="1"/>
  <c r="D36" i="4" s="1"/>
  <c r="D33" i="3"/>
  <c r="D35" i="3" s="1"/>
  <c r="D37" i="3" s="1"/>
  <c r="H33" i="3"/>
  <c r="H35" i="3" s="1"/>
  <c r="H37" i="3" s="1"/>
  <c r="E32" i="4"/>
  <c r="E34" i="4" s="1"/>
  <c r="E36" i="4" s="1"/>
  <c r="I14" i="4"/>
  <c r="I16" i="4" s="1"/>
  <c r="I32" i="4" s="1"/>
  <c r="I34" i="4" s="1"/>
  <c r="I36" i="4" s="1"/>
  <c r="H14" i="4"/>
  <c r="H16" i="4" s="1"/>
  <c r="H32" i="4" s="1"/>
  <c r="H34" i="4" s="1"/>
  <c r="H36" i="4" s="1"/>
  <c r="G16" i="1" l="1"/>
  <c r="G17" i="1"/>
  <c r="G18" i="1"/>
  <c r="G19" i="1"/>
  <c r="E20" i="1"/>
  <c r="F20" i="1"/>
  <c r="I20" i="1"/>
  <c r="E7" i="1"/>
  <c r="E14" i="1"/>
  <c r="E36" i="1"/>
  <c r="E48" i="1"/>
  <c r="E52" i="1"/>
  <c r="E63" i="1" s="1"/>
  <c r="F14" i="1"/>
  <c r="G9" i="1"/>
  <c r="G11" i="1"/>
  <c r="G12" i="1"/>
  <c r="G13" i="1"/>
  <c r="G22" i="1"/>
  <c r="G23" i="1"/>
  <c r="G24" i="1"/>
  <c r="G26" i="1"/>
  <c r="G27" i="1"/>
  <c r="G28" i="1"/>
  <c r="G29" i="1"/>
  <c r="G30" i="1"/>
  <c r="G31" i="1"/>
  <c r="G32" i="1"/>
  <c r="G33" i="1"/>
  <c r="G34" i="1"/>
  <c r="G35" i="1"/>
  <c r="G41" i="1"/>
  <c r="G42" i="1"/>
  <c r="G43" i="1"/>
  <c r="G44" i="1"/>
  <c r="G45" i="1"/>
  <c r="G46" i="1"/>
  <c r="G47" i="1"/>
  <c r="G49" i="1"/>
  <c r="G53" i="1"/>
  <c r="G54" i="1"/>
  <c r="H54" i="1" s="1"/>
  <c r="G55" i="1"/>
  <c r="G56" i="1"/>
  <c r="G57" i="1"/>
  <c r="G59" i="1"/>
  <c r="G60" i="1"/>
  <c r="H60" i="1" s="1"/>
  <c r="J60" i="1" s="1"/>
  <c r="G61" i="1"/>
  <c r="G62" i="1"/>
  <c r="G65" i="1"/>
  <c r="G66" i="1"/>
  <c r="G67" i="1"/>
  <c r="G68" i="1"/>
  <c r="G69" i="1"/>
  <c r="H52" i="1" l="1"/>
  <c r="J54" i="1"/>
  <c r="F37" i="1"/>
  <c r="F39" i="1" s="1"/>
  <c r="F50" i="1" s="1"/>
  <c r="G20" i="1"/>
  <c r="E37" i="1"/>
  <c r="E39" i="1" s="1"/>
  <c r="E50" i="1" s="1"/>
  <c r="G14" i="1"/>
  <c r="J52" i="1" l="1"/>
  <c r="H63" i="1"/>
  <c r="G7" i="1"/>
  <c r="I48" i="1" l="1"/>
  <c r="J48" i="1" s="1"/>
  <c r="K48" i="1" s="1"/>
  <c r="I14" i="1"/>
  <c r="J14" i="1" s="1"/>
  <c r="K14" i="1" s="1"/>
  <c r="I36" i="1"/>
  <c r="G52" i="1"/>
  <c r="G48" i="1"/>
  <c r="G36" i="1"/>
  <c r="G37" i="1" s="1"/>
  <c r="G39" i="1" s="1"/>
  <c r="G50" i="1" l="1"/>
  <c r="G63" i="1"/>
  <c r="J36" i="1"/>
  <c r="K36" i="1" s="1"/>
  <c r="I37" i="1"/>
  <c r="I39" i="1" l="1"/>
  <c r="I50" i="1" s="1"/>
  <c r="J50" i="1" s="1"/>
  <c r="K50" i="1" s="1"/>
  <c r="J37" i="1"/>
  <c r="K37" i="1" s="1"/>
  <c r="J39" i="1"/>
  <c r="K39" i="1" s="1"/>
  <c r="I63" i="1" l="1"/>
</calcChain>
</file>

<file path=xl/sharedStrings.xml><?xml version="1.0" encoding="utf-8"?>
<sst xmlns="http://schemas.openxmlformats.org/spreadsheetml/2006/main" count="318" uniqueCount="193">
  <si>
    <r>
      <rPr>
        <i/>
        <u/>
        <sz val="10"/>
        <rFont val="Arial"/>
        <family val="2"/>
      </rPr>
      <t>INSTRUCTION</t>
    </r>
    <r>
      <rPr>
        <i/>
        <sz val="10"/>
        <rFont val="Arial"/>
        <family val="2"/>
      </rPr>
      <t>: Estimates for Capital Costs (1.a-e), Financing Costs and Other Cash Requirements (2.a-g), and Working Capital Startup Costs (3) must reflect current costs as of the date of application and include all costs for construction and renovation. Explain the basis for construction cost estimates, renovation cost estimates, contingencies, interest during construction period, and inflation in an attachment to the application. See additional instruction in the column to the right of the table.</t>
    </r>
  </si>
  <si>
    <r>
      <rPr>
        <i/>
        <u/>
        <sz val="10"/>
        <rFont val="Arial"/>
        <family val="2"/>
      </rPr>
      <t>NOTE</t>
    </r>
    <r>
      <rPr>
        <i/>
        <sz val="10"/>
        <rFont val="Arial"/>
        <family val="2"/>
      </rPr>
      <t>: Inflation should only be included in the Inflation allowance line A.1.e. The value of donated land for the project should be included on Line A.1.a as a use of funds and on line B.8 as a source of funds</t>
    </r>
  </si>
  <si>
    <t>Hospital Building</t>
  </si>
  <si>
    <t>Other Structure</t>
  </si>
  <si>
    <t>A.</t>
  </si>
  <si>
    <t>USE OF FUNDS</t>
  </si>
  <si>
    <t>Additional instruction for cost categories</t>
  </si>
  <si>
    <t>1.</t>
  </si>
  <si>
    <t>CAPITAL COSTS</t>
  </si>
  <si>
    <t>a.</t>
  </si>
  <si>
    <t>Land Purchase</t>
  </si>
  <si>
    <t>b.</t>
  </si>
  <si>
    <t>New Construction</t>
  </si>
  <si>
    <t>(1)</t>
  </si>
  <si>
    <t>Building</t>
  </si>
  <si>
    <t>(2)</t>
  </si>
  <si>
    <t>Fixed Equipment</t>
  </si>
  <si>
    <t>in above</t>
  </si>
  <si>
    <t>These costs should be consistent with the Marshall Valuation Service definition of Group 1 equipment: Permanent equipment, installed on or attached to the building, part of a general contract, and included in calculator costs.</t>
  </si>
  <si>
    <t>(3)</t>
  </si>
  <si>
    <t>Site and Infrastructure</t>
  </si>
  <si>
    <t>(4)</t>
  </si>
  <si>
    <t>Architect/Engineering Fees</t>
  </si>
  <si>
    <t>(5)</t>
  </si>
  <si>
    <t>Permits (Building, Utilities, Etc.)</t>
  </si>
  <si>
    <t>SUBTOTAL</t>
  </si>
  <si>
    <t>Ensure that SUBTOTAL includes all categories under 1.b.</t>
  </si>
  <si>
    <t>c.</t>
  </si>
  <si>
    <t>Renovations</t>
  </si>
  <si>
    <t xml:space="preserve">Fixed Equipment (not included in construction) </t>
  </si>
  <si>
    <t>Ensure that SUBTOTAL includes all categories under 1.c.</t>
  </si>
  <si>
    <t>d.</t>
  </si>
  <si>
    <t>Other Capital Costs</t>
  </si>
  <si>
    <t>Movable Equipment</t>
  </si>
  <si>
    <t>Contingency Allowance</t>
  </si>
  <si>
    <t>Gross interest during construction period</t>
  </si>
  <si>
    <r>
      <t>Other</t>
    </r>
    <r>
      <rPr>
        <i/>
        <sz val="10"/>
        <rFont val="Arial"/>
        <family val="2"/>
      </rPr>
      <t xml:space="preserve"> (Specify/add rows if needed)</t>
    </r>
  </si>
  <si>
    <r>
      <t xml:space="preserve">Permits </t>
    </r>
    <r>
      <rPr>
        <sz val="9"/>
        <rFont val="Arial"/>
        <family val="2"/>
      </rPr>
      <t>(Campus Dev, Wetlands, Storm Water Mgmt)</t>
    </r>
  </si>
  <si>
    <t>Specialty Hardware &amp; Security</t>
  </si>
  <si>
    <t>Technology - IT, AV, Safety, &amp; Communications</t>
  </si>
  <si>
    <t>Exterior Courtyards / Security Walls</t>
  </si>
  <si>
    <t>Balconies</t>
  </si>
  <si>
    <t>Balcony Hardscaping / Landscaping</t>
  </si>
  <si>
    <t>Canopies</t>
  </si>
  <si>
    <t>Sitework - Roads and Parking Lots</t>
  </si>
  <si>
    <t>Architectural / Engineer Fees for other Capital Costs</t>
  </si>
  <si>
    <t>Non-AE Fees</t>
  </si>
  <si>
    <t>Calculate sum of all categories under 1.d.</t>
  </si>
  <si>
    <t>TOTAL CURRENT CAPITAL COSTS</t>
  </si>
  <si>
    <t>Ensure that TOTAL CURRENT CAPITAL COSTS includes all SUBTOTALS above</t>
  </si>
  <si>
    <t>e.</t>
  </si>
  <si>
    <t>Inflation Allowance</t>
  </si>
  <si>
    <t>Inflation should only be included in this category</t>
  </si>
  <si>
    <t xml:space="preserve">TOTAL CAPITAL COSTS </t>
  </si>
  <si>
    <t>Ensure that TOTAL CAPITAL COSTS includes TOTAL CURRENT CAPITAL COSTS and Inflation Allowance</t>
  </si>
  <si>
    <t>2.</t>
  </si>
  <si>
    <t>Financing Cost and Other Cash Requirements</t>
  </si>
  <si>
    <t>Loan Placement Fees</t>
  </si>
  <si>
    <t>Bond Discount</t>
  </si>
  <si>
    <t>Legal Fees</t>
  </si>
  <si>
    <t>Non-Legal Consultant Fees</t>
  </si>
  <si>
    <t>Liquidation of Existing Debt</t>
  </si>
  <si>
    <t>f.</t>
  </si>
  <si>
    <t>Debt Service Reserve Fund</t>
  </si>
  <si>
    <t>g.</t>
  </si>
  <si>
    <r>
      <t xml:space="preserve">Other </t>
    </r>
    <r>
      <rPr>
        <b/>
        <i/>
        <sz val="10"/>
        <rFont val="Arial"/>
        <family val="2"/>
      </rPr>
      <t>(Specify/add rows if needed)</t>
    </r>
  </si>
  <si>
    <t>Calculate sum of all categories under 2.</t>
  </si>
  <si>
    <t>3.</t>
  </si>
  <si>
    <t>Working Capital Startup Costs</t>
  </si>
  <si>
    <t xml:space="preserve">Start up costs are costs incurred before opening a facility or new service that under generally accepted accounting principles are not chargeable as operating expense or maintenance. </t>
  </si>
  <si>
    <t>TOTAL USES OF FUNDS</t>
  </si>
  <si>
    <t xml:space="preserve">Ensure that TOTAL USES OF FUNDS includes TOTAL CAPITAL COSTS, SUBTOTAL under A.2., and Working Capital Startup Costs </t>
  </si>
  <si>
    <t>B.</t>
  </si>
  <si>
    <t>Sources of Funds</t>
  </si>
  <si>
    <t>Cash</t>
  </si>
  <si>
    <t>Philanthropy (to date and expected)</t>
  </si>
  <si>
    <t>Authorized Bonds</t>
  </si>
  <si>
    <t>4.</t>
  </si>
  <si>
    <t>Interest Income from bond proceeds listed in #3</t>
  </si>
  <si>
    <t>5.</t>
  </si>
  <si>
    <t>Mortgage</t>
  </si>
  <si>
    <t>6.</t>
  </si>
  <si>
    <t>Working Capital Loans</t>
  </si>
  <si>
    <t>7.</t>
  </si>
  <si>
    <t>Grants or Appropriations</t>
  </si>
  <si>
    <t>Federal</t>
  </si>
  <si>
    <t>State</t>
  </si>
  <si>
    <t>Local</t>
  </si>
  <si>
    <t>8.</t>
  </si>
  <si>
    <t>Include the value of any donated land for the project in this category</t>
  </si>
  <si>
    <t>TOTAL SOURCES OF FUNDS</t>
  </si>
  <si>
    <t>Calculate sum of all categories under B; Note that TOTAL SOURCES OF FUNDS should match TOTAL USES OF FUNDS</t>
  </si>
  <si>
    <t>Annual Lease Costs (if applicable)</t>
  </si>
  <si>
    <t>Land</t>
  </si>
  <si>
    <t>Major Movable Equipment</t>
  </si>
  <si>
    <t>Minor Movable Equipment</t>
  </si>
  <si>
    <t>Describe the terms of the lease(s) below, including information on the fair market value of the item(s), and the number of years, annual cost, and the interest rate for the lease.</t>
  </si>
  <si>
    <t>2021 Estimate</t>
  </si>
  <si>
    <t>Variance</t>
  </si>
  <si>
    <t>% Change</t>
  </si>
  <si>
    <r>
      <rPr>
        <i/>
        <u/>
        <sz val="10"/>
        <rFont val="Arial"/>
        <family val="2"/>
      </rPr>
      <t>INSTRUCTION</t>
    </r>
    <r>
      <rPr>
        <i/>
        <sz val="10"/>
        <rFont val="Arial"/>
        <family val="2"/>
      </rPr>
      <t>: Complete this table for the entire facility, including the proposed project. Table G should reflect current dollars (no inflation). Projected revenues and expenses should be consistent with the projections in Table F and with the costs of Manpower listed in Table L. Manpower. Indicate on the table if the reporting period is Calendar Year (CY) or Fiscal Year (FY). In an attachment to the application, provide an explanation or basis for the projections and specify all assumptions used. Applicants must explain why the assumptions are reasonable. Specify the sources of non-operating income. See additional instruction in the column to the right of the table.</t>
    </r>
  </si>
  <si>
    <t xml:space="preserve">Two Most Recent Years (Actual) </t>
  </si>
  <si>
    <t>Current Year Projected</t>
  </si>
  <si>
    <t>Projected Years (ending five years after completion) Add columns if needed.</t>
  </si>
  <si>
    <t>Additional Instruction</t>
  </si>
  <si>
    <t>Indicate CY or FY</t>
  </si>
  <si>
    <t>FY 2013</t>
  </si>
  <si>
    <t>FY 2014</t>
  </si>
  <si>
    <t>FY 2015</t>
  </si>
  <si>
    <t>FY 2016</t>
  </si>
  <si>
    <t>FY 2017</t>
  </si>
  <si>
    <t>FY 2018</t>
  </si>
  <si>
    <t>FY 2019</t>
  </si>
  <si>
    <t>FY 2020</t>
  </si>
  <si>
    <t>FY 2021</t>
  </si>
  <si>
    <t>FY 2022</t>
  </si>
  <si>
    <t>1. REVENUE</t>
  </si>
  <si>
    <t>a. Inpatient Services</t>
  </si>
  <si>
    <t>b. Outpatient Services</t>
  </si>
  <si>
    <t xml:space="preserve"> Rate Adjustment</t>
  </si>
  <si>
    <t>Gross Patient Service Revenues</t>
  </si>
  <si>
    <t>Ensure that Gross Patient Service Revenue includes 1 a-b.</t>
  </si>
  <si>
    <t>c. Allowance For Bad Debt</t>
  </si>
  <si>
    <t>d. Contractual Allowance</t>
  </si>
  <si>
    <t>e. Charity Care</t>
  </si>
  <si>
    <t xml:space="preserve">     Rate Adjustment Allowance</t>
  </si>
  <si>
    <t>Net Patient Services Revenue</t>
  </si>
  <si>
    <t>Ensure that Net Patient Services Revenue includes Gross Patients Service Revenue minus 1 c-e.</t>
  </si>
  <si>
    <t>f. Other Operating Revenues (Specify/add rows if needed)</t>
  </si>
  <si>
    <t>NET OPERATING REVENUE</t>
  </si>
  <si>
    <t>Ensure that Net Operating Revenue reflects the sum of Net Patient Services Revenue and all Other Operating Revenue rows.</t>
  </si>
  <si>
    <t>2. EXPENSES</t>
  </si>
  <si>
    <t>a. Salaries &amp; Wages (including benefits)</t>
  </si>
  <si>
    <t>b. Contractual Services</t>
  </si>
  <si>
    <t>c. Interest on Current Debt</t>
  </si>
  <si>
    <t>d. Interest on Project Debt</t>
  </si>
  <si>
    <t>e. Current Depreciation</t>
  </si>
  <si>
    <t>f. Project Depreciation</t>
  </si>
  <si>
    <t>g. Current Amortization</t>
  </si>
  <si>
    <t>h. Project Amortization</t>
  </si>
  <si>
    <t>i. Supplies</t>
  </si>
  <si>
    <t>j. Rentals</t>
  </si>
  <si>
    <t>k. Other</t>
  </si>
  <si>
    <t>l. Corporate Overhead</t>
  </si>
  <si>
    <t>TOTAL OPERATING EXPENSES</t>
  </si>
  <si>
    <t>Ensure that Total Operating Expenses includes any added Other rows.</t>
  </si>
  <si>
    <t>3. INCOME</t>
  </si>
  <si>
    <t>a. Income From Operation</t>
  </si>
  <si>
    <t>Ensure that Income from Operation includes Net Operating Revenue minus Total Operating Expenses.</t>
  </si>
  <si>
    <t>b. Non-Operating Income</t>
  </si>
  <si>
    <t>Ensure that Subtotal includes 3 a-b.</t>
  </si>
  <si>
    <t>c. Income Taxes</t>
  </si>
  <si>
    <t>NET INCOME (LOSS)</t>
  </si>
  <si>
    <t>Ensure that the Net Income (Loss) includes Subtotal and Income Taxes.</t>
  </si>
  <si>
    <t>4. PATIENT MIX</t>
  </si>
  <si>
    <t>a. Percent of Total Revenue</t>
  </si>
  <si>
    <t xml:space="preserve">    1) Medicare</t>
  </si>
  <si>
    <t xml:space="preserve">    2) Medicaid</t>
  </si>
  <si>
    <t xml:space="preserve">    3) Blue Cross</t>
  </si>
  <si>
    <t xml:space="preserve">    4) Commercial Insurance</t>
  </si>
  <si>
    <t xml:space="preserve">    5) Self-pay</t>
  </si>
  <si>
    <t xml:space="preserve">    6) Other</t>
  </si>
  <si>
    <t xml:space="preserve">TOTAL </t>
  </si>
  <si>
    <t>Ensure that 4a captures 100% of patients</t>
  </si>
  <si>
    <t>b. Percent of Equivalent Inpatient Days</t>
  </si>
  <si>
    <t>Ensure that 4b captures 100% of patients</t>
  </si>
  <si>
    <r>
      <rPr>
        <i/>
        <u/>
        <sz val="10"/>
        <rFont val="Arial"/>
        <family val="2"/>
      </rPr>
      <t>INSTRUCTION</t>
    </r>
    <r>
      <rPr>
        <i/>
        <sz val="10"/>
        <rFont val="Arial"/>
        <family val="2"/>
      </rPr>
      <t>: Complete this table for the entire facility, including the proposed project. Table H should reflect inflation. Projected revenues and expenses should be consistent with the projections in Table F. Indicate on the table if the reporting period is Calendar Year (CY) or Fiscal Year (FY). In an attachment to the application, provide an explanation or basis for the projections and specify all assumptions used. Applicants must explain why the assumptions are reasonable. See additional instruction in the column to the right of the table.</t>
    </r>
  </si>
  <si>
    <t>Rate Adjustement Allowance</t>
  </si>
  <si>
    <t>b.  Non-Operating Income</t>
  </si>
  <si>
    <t>Total MSGA</t>
  </si>
  <si>
    <t>Update</t>
  </si>
  <si>
    <t>Interest Income Earned on Bond Funds</t>
  </si>
  <si>
    <t>includes additional capitalized interest</t>
  </si>
  <si>
    <t>Previously shown as cash, used working capital loans to fund portion of construction through COVID</t>
  </si>
  <si>
    <t>2016 CON Estimate</t>
  </si>
  <si>
    <t>March 2021 Approved Project Change</t>
  </si>
  <si>
    <t>Cash funded through working capital loan below</t>
  </si>
  <si>
    <t>$8m in state appropriations received, $2m AR should be received by opening</t>
  </si>
  <si>
    <t>Duplicated State appropriations here, reconciled to include only donor gifts allocated for new hospital</t>
  </si>
  <si>
    <t>Ties to total bond fund including portion of bond fund for capitalized interest</t>
  </si>
  <si>
    <t>March Approved</t>
  </si>
  <si>
    <t>Projected Years (ending five years after completion) Add columns if needed -Original</t>
  </si>
  <si>
    <t>Minor modifications to lines</t>
  </si>
  <si>
    <t>used inflated numbers due to timing - FY22 starts next month, minor modifications to lines</t>
  </si>
  <si>
    <t>True-up of depreciation</t>
  </si>
  <si>
    <t>Includes additional costs - primarily malpractice</t>
  </si>
  <si>
    <t>additional operating costs for new larger facility</t>
  </si>
  <si>
    <t>update matches current payer mix trends</t>
  </si>
  <si>
    <t>Additional rate relief assumed for added cost pressures</t>
  </si>
  <si>
    <t>Additional Capitalized Interest due to timing of financing and opening of hospital</t>
  </si>
  <si>
    <r>
      <t>TABLE E. PROJECT BUDGET</t>
    </r>
    <r>
      <rPr>
        <b/>
        <sz val="10"/>
        <color rgb="FFFF0000"/>
        <rFont val="Arial"/>
        <family val="2"/>
      </rPr>
      <t>--REVISED 6/4/21</t>
    </r>
  </si>
  <si>
    <r>
      <t>TABLE G. REVENUES &amp; EXPENSES, UNINFLATED - ENTIRE FACILITY</t>
    </r>
    <r>
      <rPr>
        <b/>
        <sz val="10"/>
        <color rgb="FFFF0000"/>
        <rFont val="Arial"/>
        <family val="2"/>
      </rPr>
      <t>--REVISED 6/4/21</t>
    </r>
  </si>
  <si>
    <r>
      <t>TABLE H. REVENUES &amp; EXPENSES, INFLATED - ENTIRE FACILITY</t>
    </r>
    <r>
      <rPr>
        <b/>
        <sz val="10"/>
        <color rgb="FFFF0000"/>
        <rFont val="Arial"/>
        <family val="2"/>
      </rPr>
      <t>--REVISED 6/4/21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</si>
</sst>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0.0%"/>
  </numFmts>
  <fonts count="14" x14ac:knownFonts="1">
    <font>
      <sz val="11"/>
      <color theme="1"/>
      <name val="Calibri"/>
      <family val="2"/>
      <scheme val="minor"/>
    </font>
    <font>
      <sz val="11"/>
      <color theme="1"/>
      <name val="Calibri"/>
      <family val="2"/>
      <scheme val="minor"/>
    </font>
    <font>
      <b/>
      <sz val="10"/>
      <name val="Arial"/>
      <family val="2"/>
    </font>
    <font>
      <i/>
      <sz val="9"/>
      <name val="Arial"/>
      <family val="2"/>
    </font>
    <font>
      <i/>
      <sz val="10"/>
      <name val="Arial"/>
      <family val="2"/>
    </font>
    <font>
      <i/>
      <u/>
      <sz val="10"/>
      <name val="Arial"/>
      <family val="2"/>
    </font>
    <font>
      <sz val="9"/>
      <name val="Arial"/>
      <family val="2"/>
    </font>
    <font>
      <b/>
      <i/>
      <sz val="10"/>
      <name val="Arial"/>
      <family val="2"/>
    </font>
    <font>
      <sz val="10"/>
      <name val="Arial"/>
      <family val="2"/>
    </font>
    <font>
      <sz val="10"/>
      <color rgb="FF000099"/>
      <name val="Arial"/>
      <family val="2"/>
    </font>
    <font>
      <b/>
      <sz val="11"/>
      <color theme="0"/>
      <name val="Calibri"/>
      <family val="2"/>
      <scheme val="minor"/>
    </font>
    <font>
      <b/>
      <sz val="9"/>
      <name val="Arial"/>
      <family val="2"/>
    </font>
    <font>
      <b/>
      <i/>
      <sz val="9"/>
      <name val="Arial"/>
      <family val="2"/>
    </font>
    <font>
      <b/>
      <sz val="10"/>
      <color rgb="FFFF0000"/>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1"/>
        <bgColor indexed="64"/>
      </patternFill>
    </fill>
  </fills>
  <borders count="48">
    <border>
      <left/>
      <right/>
      <top/>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cellStyleXfs>
  <cellXfs count="319">
    <xf numFmtId="0" fontId="0" fillId="0" borderId="0" xfId="0"/>
    <xf numFmtId="164" fontId="2" fillId="0" borderId="0" xfId="0" applyNumberFormat="1" applyFont="1" applyBorder="1" applyAlignment="1" applyProtection="1">
      <alignment horizontal="left" vertical="center"/>
    </xf>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3" fillId="0" borderId="0" xfId="0" applyFont="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164" fontId="7" fillId="0" borderId="4" xfId="0" applyNumberFormat="1" applyFont="1" applyFill="1" applyBorder="1" applyAlignment="1" applyProtection="1">
      <alignment horizontal="center" vertical="center" wrapText="1"/>
      <protection locked="0"/>
    </xf>
    <xf numFmtId="0" fontId="2" fillId="0" borderId="5" xfId="0" applyFont="1" applyBorder="1" applyAlignment="1" applyProtection="1">
      <alignment vertical="center"/>
      <protection locked="0"/>
    </xf>
    <xf numFmtId="0" fontId="0" fillId="0" borderId="7" xfId="0" applyBorder="1" applyAlignment="1" applyProtection="1">
      <alignment vertical="center"/>
    </xf>
    <xf numFmtId="49" fontId="2" fillId="0" borderId="6" xfId="0" applyNumberFormat="1" applyFont="1" applyBorder="1" applyAlignment="1" applyProtection="1">
      <alignment vertical="center" shrinkToFit="1"/>
    </xf>
    <xf numFmtId="165" fontId="3" fillId="0" borderId="0" xfId="1" applyNumberFormat="1" applyFont="1" applyBorder="1" applyAlignment="1" applyProtection="1">
      <alignment vertical="center" wrapText="1"/>
      <protection locked="0"/>
    </xf>
    <xf numFmtId="0" fontId="0" fillId="0" borderId="8" xfId="0" applyBorder="1" applyAlignment="1">
      <alignment vertical="center"/>
    </xf>
    <xf numFmtId="49" fontId="0" fillId="0" borderId="9" xfId="0" applyNumberFormat="1" applyBorder="1" applyAlignment="1">
      <alignment vertical="center" shrinkToFit="1"/>
    </xf>
    <xf numFmtId="0" fontId="2" fillId="0" borderId="9" xfId="0" applyFont="1" applyBorder="1" applyAlignment="1">
      <alignment vertical="center"/>
    </xf>
    <xf numFmtId="0" fontId="2" fillId="0" borderId="10" xfId="0" applyFont="1" applyBorder="1" applyAlignment="1">
      <alignment vertical="center"/>
    </xf>
    <xf numFmtId="164" fontId="2" fillId="0" borderId="4" xfId="1" applyNumberFormat="1" applyFont="1" applyFill="1" applyBorder="1" applyAlignment="1" applyProtection="1">
      <alignment horizontal="right" vertical="center"/>
      <protection locked="0"/>
    </xf>
    <xf numFmtId="164" fontId="2" fillId="0" borderId="4" xfId="1" applyNumberFormat="1" applyFont="1" applyFill="1" applyBorder="1" applyAlignment="1" applyProtection="1">
      <alignment vertical="center"/>
      <protection locked="0"/>
    </xf>
    <xf numFmtId="165" fontId="3" fillId="3" borderId="0" xfId="1" applyNumberFormat="1" applyFont="1" applyFill="1" applyBorder="1" applyAlignment="1" applyProtection="1">
      <alignment vertical="center" wrapText="1"/>
      <protection locked="0"/>
    </xf>
    <xf numFmtId="0" fontId="0" fillId="0" borderId="11" xfId="0" applyBorder="1" applyAlignment="1">
      <alignment vertical="center"/>
    </xf>
    <xf numFmtId="0" fontId="0" fillId="0" borderId="12" xfId="0" applyBorder="1" applyAlignment="1">
      <alignment vertical="center"/>
    </xf>
    <xf numFmtId="0" fontId="2" fillId="0" borderId="12"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49" fontId="0" fillId="0" borderId="15" xfId="0" quotePrefix="1" applyNumberFormat="1" applyBorder="1" applyAlignment="1">
      <alignment vertical="center"/>
    </xf>
    <xf numFmtId="0" fontId="8" fillId="0" borderId="16" xfId="0" applyFont="1" applyBorder="1" applyAlignment="1">
      <alignment vertical="center"/>
    </xf>
    <xf numFmtId="164" fontId="8" fillId="0" borderId="17" xfId="1" applyNumberFormat="1" applyFont="1" applyFill="1" applyBorder="1" applyAlignment="1" applyProtection="1">
      <alignment vertical="center"/>
      <protection locked="0"/>
    </xf>
    <xf numFmtId="0" fontId="0" fillId="0" borderId="15" xfId="0" quotePrefix="1" applyBorder="1" applyAlignment="1">
      <alignment horizontal="left" vertical="center"/>
    </xf>
    <xf numFmtId="0" fontId="8" fillId="0" borderId="15" xfId="0" applyFont="1" applyBorder="1" applyAlignment="1">
      <alignment horizontal="left" vertical="center"/>
    </xf>
    <xf numFmtId="164" fontId="8" fillId="0" borderId="17" xfId="1" applyNumberFormat="1" applyFont="1" applyFill="1" applyBorder="1" applyAlignment="1" applyProtection="1">
      <alignment horizontal="center" vertical="center"/>
      <protection locked="0"/>
    </xf>
    <xf numFmtId="0" fontId="8" fillId="0" borderId="15" xfId="0" quotePrefix="1" applyFont="1" applyBorder="1" applyAlignment="1">
      <alignment vertical="center"/>
    </xf>
    <xf numFmtId="0" fontId="8" fillId="0" borderId="15" xfId="0" applyFont="1" applyBorder="1" applyAlignment="1">
      <alignment vertical="center"/>
    </xf>
    <xf numFmtId="164" fontId="0" fillId="0" borderId="17" xfId="1" applyNumberFormat="1" applyFont="1" applyFill="1" applyBorder="1" applyAlignment="1" applyProtection="1">
      <alignment vertical="center"/>
      <protection locked="0"/>
    </xf>
    <xf numFmtId="164" fontId="8" fillId="0" borderId="17" xfId="0" applyNumberFormat="1" applyFont="1" applyFill="1" applyBorder="1" applyAlignment="1" applyProtection="1">
      <alignment vertical="center"/>
      <protection locked="0"/>
    </xf>
    <xf numFmtId="164" fontId="0" fillId="0" borderId="17" xfId="0" applyNumberFormat="1" applyFill="1" applyBorder="1" applyAlignment="1" applyProtection="1">
      <alignment vertical="center"/>
      <protection locked="0"/>
    </xf>
    <xf numFmtId="0" fontId="7" fillId="0" borderId="19" xfId="0" applyFont="1" applyBorder="1" applyAlignment="1">
      <alignment vertical="center"/>
    </xf>
    <xf numFmtId="164" fontId="2" fillId="4" borderId="20" xfId="1" applyNumberFormat="1" applyFont="1" applyFill="1" applyBorder="1" applyAlignment="1" applyProtection="1">
      <alignment vertical="center"/>
      <protection locked="0"/>
    </xf>
    <xf numFmtId="164" fontId="0" fillId="0" borderId="14" xfId="1" applyNumberFormat="1" applyFont="1" applyFill="1" applyBorder="1" applyAlignment="1" applyProtection="1">
      <alignment vertical="center"/>
      <protection locked="0"/>
    </xf>
    <xf numFmtId="0" fontId="0" fillId="0" borderId="15" xfId="0" quotePrefix="1" applyBorder="1" applyAlignment="1">
      <alignment vertical="center"/>
    </xf>
    <xf numFmtId="164" fontId="8" fillId="0" borderId="4" xfId="1" applyNumberFormat="1" applyFont="1" applyFill="1" applyBorder="1" applyAlignment="1" applyProtection="1">
      <alignment horizontal="righ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0" fillId="0" borderId="15" xfId="0" quotePrefix="1" applyBorder="1" applyAlignment="1" applyProtection="1">
      <alignment vertical="center"/>
      <protection locked="0"/>
    </xf>
    <xf numFmtId="0" fontId="8" fillId="0" borderId="15" xfId="0" applyFont="1" applyBorder="1" applyAlignment="1" applyProtection="1">
      <alignment vertical="center"/>
      <protection locked="0"/>
    </xf>
    <xf numFmtId="164" fontId="9" fillId="0" borderId="17" xfId="1" applyNumberFormat="1" applyFont="1" applyFill="1" applyBorder="1" applyAlignment="1" applyProtection="1">
      <alignment vertical="center"/>
      <protection locked="0"/>
    </xf>
    <xf numFmtId="0" fontId="3" fillId="0" borderId="0" xfId="0" applyFont="1" applyAlignment="1" applyProtection="1">
      <alignment vertical="center" wrapText="1"/>
      <protection locked="0"/>
    </xf>
    <xf numFmtId="0" fontId="0" fillId="0" borderId="21" xfId="0" applyBorder="1" applyAlignment="1" applyProtection="1">
      <alignment vertical="center"/>
      <protection locked="0"/>
    </xf>
    <xf numFmtId="0" fontId="0" fillId="0" borderId="22" xfId="0" applyBorder="1" applyAlignment="1" applyProtection="1">
      <alignment vertical="center"/>
      <protection locked="0"/>
    </xf>
    <xf numFmtId="0" fontId="0" fillId="0" borderId="22" xfId="0" quotePrefix="1" applyBorder="1" applyAlignment="1" applyProtection="1">
      <alignment vertical="center"/>
      <protection locked="0"/>
    </xf>
    <xf numFmtId="164" fontId="8" fillId="0" borderId="23" xfId="1" applyNumberFormat="1" applyFont="1" applyFill="1" applyBorder="1" applyAlignment="1" applyProtection="1">
      <alignment vertical="center"/>
      <protection locked="0"/>
    </xf>
    <xf numFmtId="164" fontId="0" fillId="0" borderId="23" xfId="1" applyNumberFormat="1" applyFont="1" applyFill="1" applyBorder="1" applyAlignment="1" applyProtection="1">
      <alignment vertical="center"/>
      <protection locked="0"/>
    </xf>
    <xf numFmtId="0" fontId="8" fillId="0" borderId="22" xfId="0" applyFont="1" applyBorder="1" applyAlignment="1">
      <alignment vertical="center"/>
    </xf>
    <xf numFmtId="0" fontId="7" fillId="0" borderId="18"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7" fillId="0" borderId="19" xfId="0" quotePrefix="1" applyFont="1" applyBorder="1" applyAlignment="1" applyProtection="1">
      <alignment vertical="center"/>
      <protection locked="0"/>
    </xf>
    <xf numFmtId="0" fontId="7" fillId="0" borderId="24" xfId="0" applyFont="1" applyBorder="1" applyAlignment="1" applyProtection="1">
      <alignment vertical="center"/>
      <protection locked="0"/>
    </xf>
    <xf numFmtId="164" fontId="7" fillId="4" borderId="20" xfId="1" applyNumberFormat="1" applyFont="1" applyFill="1" applyBorder="1" applyAlignment="1" applyProtection="1">
      <alignment vertical="center"/>
      <protection locked="0"/>
    </xf>
    <xf numFmtId="164" fontId="2" fillId="5" borderId="17" xfId="1" applyNumberFormat="1" applyFont="1" applyFill="1" applyBorder="1" applyAlignment="1" applyProtection="1">
      <alignment vertical="center"/>
      <protection locked="0"/>
    </xf>
    <xf numFmtId="0" fontId="2" fillId="0" borderId="25" xfId="0" applyFont="1" applyBorder="1" applyAlignment="1">
      <alignment vertical="center"/>
    </xf>
    <xf numFmtId="0" fontId="2" fillId="0" borderId="26" xfId="0" applyFont="1" applyBorder="1" applyAlignment="1">
      <alignment vertical="center"/>
    </xf>
    <xf numFmtId="0" fontId="7" fillId="0" borderId="27" xfId="0" applyFont="1" applyBorder="1" applyAlignment="1">
      <alignment vertical="center"/>
    </xf>
    <xf numFmtId="0" fontId="2" fillId="0" borderId="8" xfId="0" applyFont="1" applyBorder="1" applyAlignment="1">
      <alignment vertical="center"/>
    </xf>
    <xf numFmtId="164" fontId="8" fillId="5" borderId="28" xfId="1" applyNumberFormat="1" applyFont="1" applyFill="1" applyBorder="1" applyAlignment="1" applyProtection="1">
      <alignment vertical="center"/>
      <protection locked="0"/>
    </xf>
    <xf numFmtId="164" fontId="8" fillId="5" borderId="17" xfId="1" applyNumberFormat="1" applyFont="1" applyFill="1" applyBorder="1" applyAlignment="1" applyProtection="1">
      <alignment vertical="center"/>
      <protection locked="0"/>
    </xf>
    <xf numFmtId="0" fontId="7" fillId="0" borderId="0" xfId="0" applyFont="1" applyBorder="1" applyAlignment="1">
      <alignment vertical="center"/>
    </xf>
    <xf numFmtId="164" fontId="2" fillId="4" borderId="29" xfId="1" applyNumberFormat="1" applyFont="1" applyFill="1" applyBorder="1" applyAlignment="1" applyProtection="1">
      <alignment vertical="center"/>
      <protection locked="0"/>
    </xf>
    <xf numFmtId="49" fontId="2" fillId="0" borderId="12" xfId="0" applyNumberFormat="1"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164" fontId="2" fillId="0" borderId="17" xfId="1" applyNumberFormat="1" applyFont="1" applyFill="1" applyBorder="1" applyAlignment="1" applyProtection="1">
      <alignment vertical="center"/>
      <protection locked="0"/>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164" fontId="2" fillId="5" borderId="20" xfId="1" applyNumberFormat="1" applyFont="1" applyFill="1" applyBorder="1" applyAlignment="1" applyProtection="1">
      <alignment vertical="center"/>
      <protection locked="0"/>
    </xf>
    <xf numFmtId="0" fontId="8" fillId="0" borderId="5" xfId="0" applyFont="1" applyBorder="1" applyAlignment="1">
      <alignment vertical="center"/>
    </xf>
    <xf numFmtId="49" fontId="2" fillId="0" borderId="0" xfId="0" applyNumberFormat="1"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vertical="center"/>
    </xf>
    <xf numFmtId="164" fontId="8" fillId="0" borderId="29" xfId="1" applyNumberFormat="1" applyFont="1" applyFill="1" applyBorder="1" applyAlignment="1" applyProtection="1">
      <alignment vertical="center"/>
      <protection locked="0"/>
    </xf>
    <xf numFmtId="164" fontId="8" fillId="0" borderId="30" xfId="1" applyNumberFormat="1" applyFont="1" applyFill="1" applyBorder="1" applyAlignment="1" applyProtection="1">
      <alignment vertical="center"/>
      <protection locked="0"/>
    </xf>
    <xf numFmtId="0" fontId="4" fillId="0" borderId="9" xfId="0" applyFont="1" applyBorder="1" applyAlignment="1">
      <alignment vertical="center"/>
    </xf>
    <xf numFmtId="0" fontId="7" fillId="0" borderId="10" xfId="0" applyFont="1" applyBorder="1" applyAlignment="1">
      <alignment vertical="center"/>
    </xf>
    <xf numFmtId="164" fontId="7" fillId="4" borderId="4" xfId="1" applyNumberFormat="1" applyFont="1" applyFill="1" applyBorder="1" applyAlignment="1" applyProtection="1">
      <alignment vertical="center"/>
      <protection locked="0"/>
    </xf>
    <xf numFmtId="0" fontId="2" fillId="0" borderId="11" xfId="0" applyFont="1" applyBorder="1" applyAlignment="1">
      <alignment vertical="center"/>
    </xf>
    <xf numFmtId="49" fontId="2" fillId="0" borderId="15" xfId="0" applyNumberFormat="1" applyFont="1" applyBorder="1" applyAlignment="1">
      <alignment vertical="center"/>
    </xf>
    <xf numFmtId="0" fontId="2" fillId="0" borderId="15" xfId="0" applyFont="1" applyFill="1" applyBorder="1" applyAlignment="1">
      <alignment vertical="center"/>
    </xf>
    <xf numFmtId="0" fontId="8" fillId="0" borderId="15" xfId="0" applyFont="1" applyFill="1" applyBorder="1" applyAlignment="1">
      <alignment vertical="center"/>
    </xf>
    <xf numFmtId="0" fontId="2" fillId="0" borderId="15" xfId="0" applyFont="1" applyFill="1" applyBorder="1" applyAlignment="1">
      <alignment horizontal="left" vertical="center"/>
    </xf>
    <xf numFmtId="0" fontId="8" fillId="0" borderId="16" xfId="0" applyFont="1" applyBorder="1" applyAlignment="1">
      <alignment horizontal="left" vertical="center"/>
    </xf>
    <xf numFmtId="0" fontId="8" fillId="0" borderId="14" xfId="0" applyFont="1" applyBorder="1" applyAlignment="1" applyProtection="1">
      <alignment vertical="center"/>
      <protection locked="0"/>
    </xf>
    <xf numFmtId="49" fontId="2" fillId="0" borderId="15" xfId="0" applyNumberFormat="1" applyFont="1" applyBorder="1" applyAlignment="1" applyProtection="1">
      <alignment vertical="center"/>
      <protection locked="0"/>
    </xf>
    <xf numFmtId="0" fontId="4" fillId="0" borderId="26" xfId="0" applyFont="1" applyBorder="1" applyAlignment="1" applyProtection="1">
      <alignment vertical="center"/>
      <protection locked="0"/>
    </xf>
    <xf numFmtId="0" fontId="3" fillId="0" borderId="0" xfId="0" applyFont="1" applyBorder="1" applyAlignment="1" applyProtection="1">
      <alignment vertical="center" wrapText="1"/>
      <protection locked="0"/>
    </xf>
    <xf numFmtId="0" fontId="2" fillId="0" borderId="21" xfId="0" applyFont="1" applyBorder="1" applyAlignment="1" applyProtection="1">
      <alignment vertical="center"/>
      <protection locked="0"/>
    </xf>
    <xf numFmtId="49" fontId="2" fillId="0" borderId="22" xfId="0" applyNumberFormat="1" applyFont="1" applyBorder="1" applyAlignment="1">
      <alignment vertical="center"/>
    </xf>
    <xf numFmtId="164" fontId="2" fillId="0" borderId="23" xfId="1" applyNumberFormat="1" applyFont="1" applyFill="1" applyBorder="1" applyAlignment="1" applyProtection="1">
      <alignment vertical="center"/>
      <protection locked="0"/>
    </xf>
    <xf numFmtId="0" fontId="2" fillId="6" borderId="18" xfId="0" applyFont="1" applyFill="1" applyBorder="1" applyAlignment="1" applyProtection="1">
      <alignment vertical="center"/>
      <protection locked="0"/>
    </xf>
    <xf numFmtId="49" fontId="2" fillId="6" borderId="19" xfId="0" applyNumberFormat="1" applyFont="1" applyFill="1" applyBorder="1" applyAlignment="1" applyProtection="1">
      <alignment vertical="center"/>
      <protection locked="0"/>
    </xf>
    <xf numFmtId="0" fontId="2" fillId="6" borderId="19" xfId="0" applyFont="1" applyFill="1" applyBorder="1" applyAlignment="1" applyProtection="1">
      <alignment vertical="center"/>
      <protection locked="0"/>
    </xf>
    <xf numFmtId="0" fontId="0" fillId="6" borderId="31" xfId="0" applyFill="1" applyBorder="1" applyAlignment="1" applyProtection="1">
      <alignment vertical="center"/>
      <protection locked="0"/>
    </xf>
    <xf numFmtId="164" fontId="2" fillId="6" borderId="32" xfId="1" applyNumberFormat="1" applyFont="1" applyFill="1" applyBorder="1" applyAlignment="1" applyProtection="1">
      <alignment vertical="center"/>
      <protection locked="0"/>
    </xf>
    <xf numFmtId="164" fontId="2" fillId="6" borderId="0" xfId="1" applyNumberFormat="1" applyFont="1" applyFill="1" applyBorder="1" applyAlignment="1" applyProtection="1">
      <alignment vertical="center"/>
      <protection locked="0"/>
    </xf>
    <xf numFmtId="164" fontId="2" fillId="6" borderId="33" xfId="1" applyNumberFormat="1" applyFont="1" applyFill="1" applyBorder="1" applyAlignment="1" applyProtection="1">
      <alignment vertical="center"/>
      <protection locked="0"/>
    </xf>
    <xf numFmtId="164" fontId="0" fillId="0" borderId="0" xfId="0" applyNumberFormat="1"/>
    <xf numFmtId="0" fontId="3" fillId="0" borderId="0" xfId="0" applyFont="1" applyBorder="1" applyAlignment="1" applyProtection="1">
      <alignment wrapText="1"/>
      <protection locked="0"/>
    </xf>
    <xf numFmtId="164" fontId="7" fillId="0" borderId="0" xfId="0" applyNumberFormat="1" applyFont="1" applyFill="1" applyBorder="1" applyAlignment="1" applyProtection="1">
      <alignment horizontal="center" vertical="center" wrapText="1"/>
      <protection locked="0"/>
    </xf>
    <xf numFmtId="0" fontId="0" fillId="0" borderId="0" xfId="0" applyBorder="1" applyAlignment="1">
      <alignment vertical="center"/>
    </xf>
    <xf numFmtId="0" fontId="8" fillId="0" borderId="0" xfId="0" applyFont="1" applyBorder="1" applyAlignment="1">
      <alignment vertical="center"/>
    </xf>
    <xf numFmtId="0" fontId="0" fillId="0" borderId="0" xfId="0" applyBorder="1" applyAlignment="1">
      <alignment vertical="center" wrapText="1"/>
    </xf>
    <xf numFmtId="40" fontId="2" fillId="4" borderId="20" xfId="1" applyNumberFormat="1" applyFont="1" applyFill="1" applyBorder="1" applyAlignment="1" applyProtection="1">
      <alignment vertical="center"/>
      <protection locked="0"/>
    </xf>
    <xf numFmtId="40" fontId="0" fillId="0" borderId="0" xfId="0" applyNumberFormat="1" applyBorder="1" applyAlignment="1">
      <alignment vertical="center"/>
    </xf>
    <xf numFmtId="40" fontId="0" fillId="0" borderId="17" xfId="1" applyNumberFormat="1" applyFont="1" applyFill="1" applyBorder="1" applyAlignment="1" applyProtection="1">
      <alignment vertical="center"/>
      <protection locked="0"/>
    </xf>
    <xf numFmtId="6" fontId="8" fillId="0" borderId="17" xfId="1" applyNumberFormat="1" applyFont="1" applyFill="1" applyBorder="1" applyAlignment="1" applyProtection="1">
      <alignment vertical="center"/>
      <protection locked="0"/>
    </xf>
    <xf numFmtId="6" fontId="2" fillId="5" borderId="20" xfId="1" applyNumberFormat="1" applyFont="1" applyFill="1" applyBorder="1" applyAlignment="1" applyProtection="1">
      <alignment vertical="center"/>
      <protection locked="0"/>
    </xf>
    <xf numFmtId="6" fontId="8" fillId="0" borderId="30" xfId="1" applyNumberFormat="1" applyFont="1" applyFill="1" applyBorder="1" applyAlignment="1" applyProtection="1">
      <alignment vertical="center"/>
      <protection locked="0"/>
    </xf>
    <xf numFmtId="6" fontId="7" fillId="4" borderId="4" xfId="1" applyNumberFormat="1" applyFont="1" applyFill="1" applyBorder="1" applyAlignment="1" applyProtection="1">
      <alignment vertical="center"/>
      <protection locked="0"/>
    </xf>
    <xf numFmtId="8" fontId="2" fillId="5" borderId="17" xfId="1" applyNumberFormat="1" applyFont="1" applyFill="1" applyBorder="1" applyAlignment="1" applyProtection="1">
      <alignment vertical="center"/>
      <protection locked="0"/>
    </xf>
    <xf numFmtId="8" fontId="2" fillId="0" borderId="4" xfId="1" applyNumberFormat="1" applyFont="1" applyFill="1" applyBorder="1" applyAlignment="1" applyProtection="1">
      <alignment horizontal="right" vertical="center"/>
      <protection locked="0"/>
    </xf>
    <xf numFmtId="8" fontId="8" fillId="5" borderId="17" xfId="1" applyNumberFormat="1" applyFont="1" applyFill="1" applyBorder="1" applyAlignment="1" applyProtection="1">
      <alignment vertical="center"/>
      <protection locked="0"/>
    </xf>
    <xf numFmtId="8" fontId="2" fillId="4" borderId="29" xfId="1" applyNumberFormat="1" applyFont="1" applyFill="1" applyBorder="1" applyAlignment="1" applyProtection="1">
      <alignment vertical="center"/>
      <protection locked="0"/>
    </xf>
    <xf numFmtId="40" fontId="8" fillId="0" borderId="0" xfId="0" applyNumberFormat="1" applyFont="1" applyBorder="1" applyAlignment="1">
      <alignment vertical="center"/>
    </xf>
    <xf numFmtId="8" fontId="2" fillId="0" borderId="4" xfId="1" applyNumberFormat="1" applyFont="1" applyFill="1" applyBorder="1" applyAlignment="1" applyProtection="1">
      <alignment vertical="center"/>
      <protection locked="0"/>
    </xf>
    <xf numFmtId="8" fontId="8" fillId="0" borderId="17" xfId="1" applyNumberFormat="1" applyFont="1" applyFill="1" applyBorder="1" applyAlignment="1" applyProtection="1">
      <alignment vertical="center"/>
      <protection locked="0"/>
    </xf>
    <xf numFmtId="8" fontId="2" fillId="4" borderId="20" xfId="1" applyNumberFormat="1" applyFont="1" applyFill="1" applyBorder="1" applyAlignment="1" applyProtection="1">
      <alignment vertical="center"/>
      <protection locked="0"/>
    </xf>
    <xf numFmtId="0" fontId="0" fillId="0" borderId="0" xfId="0" applyBorder="1" applyAlignment="1">
      <alignment vertical="center" wrapText="1"/>
    </xf>
    <xf numFmtId="0" fontId="0" fillId="0" borderId="0" xfId="0" applyBorder="1" applyAlignment="1" applyProtection="1">
      <alignment horizontal="center" vertical="center"/>
      <protection locked="0"/>
    </xf>
    <xf numFmtId="0" fontId="0" fillId="0" borderId="0" xfId="0" applyBorder="1" applyAlignment="1">
      <alignment horizontal="center" vertical="center"/>
    </xf>
    <xf numFmtId="10" fontId="2" fillId="0" borderId="0" xfId="1" applyNumberFormat="1" applyFont="1" applyFill="1" applyBorder="1" applyAlignment="1" applyProtection="1">
      <alignment horizontal="center" vertical="center"/>
      <protection locked="0"/>
    </xf>
    <xf numFmtId="10" fontId="8" fillId="0" borderId="0" xfId="0" applyNumberFormat="1" applyFont="1" applyBorder="1" applyAlignment="1">
      <alignment horizontal="center" vertical="center"/>
    </xf>
    <xf numFmtId="10" fontId="8" fillId="0" borderId="0" xfId="1" applyNumberFormat="1" applyFont="1" applyFill="1" applyBorder="1" applyAlignment="1" applyProtection="1">
      <alignment horizontal="center" vertical="center"/>
      <protection locked="0"/>
    </xf>
    <xf numFmtId="10" fontId="2" fillId="4" borderId="0" xfId="1" applyNumberFormat="1" applyFont="1" applyFill="1" applyBorder="1" applyAlignment="1" applyProtection="1">
      <alignment horizontal="center" vertical="center"/>
      <protection locked="0"/>
    </xf>
    <xf numFmtId="10" fontId="0" fillId="0" borderId="0" xfId="0" applyNumberFormat="1" applyBorder="1" applyAlignment="1">
      <alignment horizontal="center" vertical="center"/>
    </xf>
    <xf numFmtId="10" fontId="0" fillId="0" borderId="0" xfId="1" applyNumberFormat="1" applyFont="1" applyFill="1" applyBorder="1" applyAlignment="1" applyProtection="1">
      <alignment horizontal="center" vertical="center"/>
      <protection locked="0"/>
    </xf>
    <xf numFmtId="10" fontId="2" fillId="5" borderId="0" xfId="1" applyNumberFormat="1" applyFont="1" applyFill="1" applyBorder="1" applyAlignment="1" applyProtection="1">
      <alignment horizontal="center" vertical="center"/>
      <protection locked="0"/>
    </xf>
    <xf numFmtId="10" fontId="8" fillId="5" borderId="0" xfId="1" applyNumberFormat="1" applyFont="1" applyFill="1" applyBorder="1" applyAlignment="1" applyProtection="1">
      <alignment horizontal="center" vertical="center"/>
      <protection locked="0"/>
    </xf>
    <xf numFmtId="10" fontId="0" fillId="0" borderId="0" xfId="0" applyNumberFormat="1" applyBorder="1" applyAlignment="1">
      <alignment horizontal="center"/>
    </xf>
    <xf numFmtId="10" fontId="7" fillId="4" borderId="0" xfId="1" applyNumberFormat="1" applyFont="1" applyFill="1" applyBorder="1" applyAlignment="1" applyProtection="1">
      <alignment horizontal="center" vertical="center"/>
      <protection locked="0"/>
    </xf>
    <xf numFmtId="43" fontId="0" fillId="0" borderId="0" xfId="0" applyNumberFormat="1"/>
    <xf numFmtId="0" fontId="6" fillId="0" borderId="0" xfId="2" applyFont="1" applyAlignment="1" applyProtection="1">
      <alignment vertical="center" wrapText="1"/>
      <protection locked="0"/>
    </xf>
    <xf numFmtId="0" fontId="8" fillId="0" borderId="0" xfId="2" applyFont="1"/>
    <xf numFmtId="0" fontId="2" fillId="0" borderId="36" xfId="2" applyFont="1" applyBorder="1" applyAlignment="1">
      <alignment vertical="center"/>
    </xf>
    <xf numFmtId="0" fontId="2" fillId="0" borderId="37" xfId="2" applyFont="1" applyBorder="1" applyAlignment="1">
      <alignment horizontal="center" vertical="center" wrapText="1"/>
    </xf>
    <xf numFmtId="0" fontId="3" fillId="0" borderId="0" xfId="2" applyFont="1" applyAlignment="1" applyProtection="1">
      <alignment horizontal="center" vertical="center" wrapText="1"/>
      <protection locked="0"/>
    </xf>
    <xf numFmtId="0" fontId="2" fillId="0" borderId="0" xfId="2" applyFont="1"/>
    <xf numFmtId="0" fontId="7" fillId="0" borderId="39" xfId="2" applyFont="1" applyBorder="1" applyAlignment="1">
      <alignment vertical="center"/>
    </xf>
    <xf numFmtId="0" fontId="2" fillId="4" borderId="40" xfId="2" applyFont="1" applyFill="1" applyBorder="1" applyAlignment="1" applyProtection="1">
      <alignment horizontal="center" vertical="center"/>
      <protection locked="0"/>
    </xf>
    <xf numFmtId="0" fontId="3" fillId="0" borderId="0" xfId="2" applyFont="1" applyAlignment="1" applyProtection="1">
      <alignment vertical="center" wrapText="1"/>
      <protection locked="0"/>
    </xf>
    <xf numFmtId="42" fontId="8" fillId="0" borderId="41" xfId="2" applyNumberFormat="1" applyFont="1" applyBorder="1" applyAlignment="1" applyProtection="1">
      <alignment vertical="center" wrapText="1"/>
      <protection locked="0"/>
    </xf>
    <xf numFmtId="42" fontId="8" fillId="0" borderId="35" xfId="2" applyNumberFormat="1" applyFont="1" applyBorder="1" applyAlignment="1" applyProtection="1">
      <alignment vertical="center"/>
      <protection locked="0"/>
    </xf>
    <xf numFmtId="0" fontId="8" fillId="0" borderId="0" xfId="2" applyFont="1" applyProtection="1">
      <protection locked="0"/>
    </xf>
    <xf numFmtId="42" fontId="8" fillId="0" borderId="41" xfId="2" applyNumberFormat="1" applyFont="1" applyBorder="1" applyAlignment="1" applyProtection="1">
      <alignment horizontal="left" vertical="center" wrapText="1" indent="1"/>
      <protection locked="0"/>
    </xf>
    <xf numFmtId="42" fontId="7" fillId="0" borderId="41" xfId="2" applyNumberFormat="1" applyFont="1" applyFill="1" applyBorder="1" applyAlignment="1" applyProtection="1">
      <alignment vertical="center" wrapText="1"/>
      <protection locked="0"/>
    </xf>
    <xf numFmtId="42" fontId="7" fillId="4" borderId="35" xfId="2" applyNumberFormat="1" applyFont="1" applyFill="1" applyBorder="1" applyAlignment="1" applyProtection="1">
      <alignment horizontal="right" vertical="center"/>
      <protection locked="0"/>
    </xf>
    <xf numFmtId="0" fontId="2" fillId="0" borderId="0" xfId="2" applyFont="1" applyAlignment="1" applyProtection="1">
      <alignment horizontal="left" vertical="center"/>
      <protection locked="0"/>
    </xf>
    <xf numFmtId="42" fontId="8" fillId="0" borderId="41" xfId="2" applyNumberFormat="1" applyFont="1" applyFill="1" applyBorder="1" applyAlignment="1" applyProtection="1">
      <alignment vertical="center" wrapText="1"/>
      <protection locked="0"/>
    </xf>
    <xf numFmtId="42" fontId="8" fillId="0" borderId="41" xfId="2" applyNumberFormat="1" applyFont="1" applyFill="1" applyBorder="1" applyAlignment="1" applyProtection="1">
      <alignment horizontal="left" vertical="center" wrapText="1"/>
      <protection locked="0"/>
    </xf>
    <xf numFmtId="42" fontId="7" fillId="4" borderId="35" xfId="2" applyNumberFormat="1" applyFont="1" applyFill="1" applyBorder="1" applyAlignment="1" applyProtection="1">
      <alignment vertical="center"/>
      <protection locked="0"/>
    </xf>
    <xf numFmtId="0" fontId="7" fillId="0" borderId="0" xfId="2" applyFont="1" applyProtection="1">
      <protection locked="0"/>
    </xf>
    <xf numFmtId="42" fontId="8" fillId="0" borderId="42" xfId="2" applyNumberFormat="1" applyFont="1" applyFill="1" applyBorder="1" applyAlignment="1" applyProtection="1">
      <alignment vertical="center" wrapText="1"/>
      <protection locked="0"/>
    </xf>
    <xf numFmtId="42" fontId="8" fillId="0" borderId="35" xfId="2" applyNumberFormat="1" applyFont="1" applyFill="1" applyBorder="1" applyAlignment="1" applyProtection="1">
      <alignment vertical="center"/>
      <protection locked="0"/>
    </xf>
    <xf numFmtId="42" fontId="7" fillId="0" borderId="39" xfId="2" applyNumberFormat="1" applyFont="1" applyFill="1" applyBorder="1" applyAlignment="1" applyProtection="1">
      <alignment vertical="center" wrapText="1"/>
      <protection locked="0"/>
    </xf>
    <xf numFmtId="42" fontId="7" fillId="4" borderId="40" xfId="2" applyNumberFormat="1" applyFont="1" applyFill="1" applyBorder="1" applyAlignment="1" applyProtection="1">
      <alignment vertical="center"/>
      <protection locked="0"/>
    </xf>
    <xf numFmtId="42" fontId="2" fillId="0" borderId="35" xfId="2" applyNumberFormat="1" applyFont="1" applyBorder="1" applyAlignment="1" applyProtection="1">
      <alignment horizontal="right" vertical="center"/>
      <protection locked="0"/>
    </xf>
    <xf numFmtId="0" fontId="11" fillId="0" borderId="0" xfId="2" applyFont="1" applyAlignment="1" applyProtection="1">
      <alignment horizontal="left" vertical="center" wrapText="1"/>
      <protection locked="0"/>
    </xf>
    <xf numFmtId="42" fontId="7" fillId="0" borderId="35" xfId="2" applyNumberFormat="1" applyFont="1" applyBorder="1" applyAlignment="1" applyProtection="1">
      <alignment vertical="center"/>
      <protection locked="0"/>
    </xf>
    <xf numFmtId="0" fontId="12" fillId="0" borderId="0" xfId="2" applyFont="1" applyAlignment="1" applyProtection="1">
      <alignment vertical="center" wrapText="1"/>
      <protection locked="0"/>
    </xf>
    <xf numFmtId="42" fontId="8" fillId="0" borderId="43" xfId="2" applyNumberFormat="1" applyFont="1" applyBorder="1" applyAlignment="1" applyProtection="1">
      <alignment vertical="center" wrapText="1"/>
      <protection locked="0"/>
    </xf>
    <xf numFmtId="42" fontId="8" fillId="0" borderId="34" xfId="2" applyNumberFormat="1" applyFont="1" applyFill="1" applyBorder="1" applyAlignment="1" applyProtection="1">
      <alignment vertical="center"/>
      <protection locked="0"/>
    </xf>
    <xf numFmtId="42" fontId="8" fillId="0" borderId="44" xfId="2" applyNumberFormat="1" applyFont="1" applyFill="1" applyBorder="1" applyAlignment="1" applyProtection="1">
      <alignment vertical="center"/>
      <protection locked="0"/>
    </xf>
    <xf numFmtId="42" fontId="2" fillId="4" borderId="40" xfId="2" applyNumberFormat="1" applyFont="1" applyFill="1" applyBorder="1" applyAlignment="1" applyProtection="1">
      <alignment vertical="center"/>
      <protection locked="0"/>
    </xf>
    <xf numFmtId="42" fontId="2" fillId="0" borderId="41" xfId="2" applyNumberFormat="1" applyFont="1" applyFill="1" applyBorder="1" applyAlignment="1" applyProtection="1">
      <alignment vertical="center" wrapText="1"/>
      <protection locked="0"/>
    </xf>
    <xf numFmtId="42" fontId="2" fillId="4" borderId="35" xfId="2" applyNumberFormat="1" applyFont="1" applyFill="1" applyBorder="1" applyAlignment="1" applyProtection="1">
      <alignment vertical="center"/>
      <protection locked="0"/>
    </xf>
    <xf numFmtId="0" fontId="7" fillId="0" borderId="0" xfId="2" applyFont="1" applyAlignment="1" applyProtection="1">
      <alignment horizontal="left" vertical="center"/>
      <protection locked="0"/>
    </xf>
    <xf numFmtId="0" fontId="11" fillId="0" borderId="0" xfId="2" applyFont="1" applyAlignment="1" applyProtection="1">
      <alignment vertical="center" wrapText="1"/>
      <protection locked="0"/>
    </xf>
    <xf numFmtId="0" fontId="2" fillId="0" borderId="0" xfId="2" applyFont="1" applyProtection="1">
      <protection locked="0"/>
    </xf>
    <xf numFmtId="0" fontId="8" fillId="0" borderId="41" xfId="2" applyFont="1" applyBorder="1" applyAlignment="1" applyProtection="1">
      <alignment vertical="center"/>
      <protection locked="0"/>
    </xf>
    <xf numFmtId="166" fontId="8" fillId="0" borderId="35" xfId="2" applyNumberFormat="1" applyFont="1" applyBorder="1" applyAlignment="1" applyProtection="1">
      <alignment vertical="center"/>
      <protection locked="0"/>
    </xf>
    <xf numFmtId="0" fontId="7" fillId="0" borderId="39" xfId="2" applyFont="1" applyFill="1" applyBorder="1" applyAlignment="1" applyProtection="1">
      <alignment vertical="center"/>
      <protection locked="0"/>
    </xf>
    <xf numFmtId="166" fontId="7" fillId="4" borderId="40" xfId="2" applyNumberFormat="1" applyFont="1" applyFill="1" applyBorder="1" applyAlignment="1" applyProtection="1">
      <alignment vertical="center"/>
      <protection locked="0"/>
    </xf>
    <xf numFmtId="0" fontId="8" fillId="0" borderId="0" xfId="2" applyFont="1" applyAlignment="1">
      <alignment vertical="center"/>
    </xf>
    <xf numFmtId="0" fontId="6" fillId="0" borderId="0" xfId="2" applyFont="1" applyAlignment="1">
      <alignment vertical="center"/>
    </xf>
    <xf numFmtId="0" fontId="6" fillId="0" borderId="0" xfId="2" applyFont="1"/>
    <xf numFmtId="0" fontId="8" fillId="0" borderId="0" xfId="2" applyFont="1" applyProtection="1"/>
    <xf numFmtId="0" fontId="2" fillId="0" borderId="36" xfId="2" applyFont="1" applyBorder="1" applyAlignment="1" applyProtection="1">
      <alignment vertical="center"/>
    </xf>
    <xf numFmtId="0" fontId="2" fillId="0" borderId="37" xfId="2" applyFont="1" applyBorder="1" applyAlignment="1" applyProtection="1">
      <alignment horizontal="center" vertical="center" wrapText="1"/>
    </xf>
    <xf numFmtId="0" fontId="2" fillId="0" borderId="0" xfId="2" applyFont="1" applyProtection="1"/>
    <xf numFmtId="0" fontId="2" fillId="0" borderId="39" xfId="2" applyFont="1" applyBorder="1" applyAlignment="1" applyProtection="1">
      <alignment vertical="center"/>
    </xf>
    <xf numFmtId="42" fontId="8" fillId="0" borderId="35" xfId="2" applyNumberFormat="1" applyFont="1" applyFill="1" applyBorder="1" applyAlignment="1" applyProtection="1">
      <alignment vertical="center"/>
    </xf>
    <xf numFmtId="42" fontId="8" fillId="0" borderId="34" xfId="2" applyNumberFormat="1" applyFont="1" applyFill="1" applyBorder="1" applyAlignment="1" applyProtection="1">
      <alignment vertical="center"/>
    </xf>
    <xf numFmtId="42" fontId="8" fillId="0" borderId="44" xfId="2" applyNumberFormat="1" applyFont="1" applyFill="1" applyBorder="1" applyAlignment="1" applyProtection="1">
      <alignment vertical="center"/>
    </xf>
    <xf numFmtId="0" fontId="2" fillId="0" borderId="0" xfId="2" applyFont="1" applyAlignment="1" applyProtection="1">
      <alignment horizontal="left" vertical="center"/>
    </xf>
    <xf numFmtId="0" fontId="8" fillId="0" borderId="0" xfId="2" applyFont="1" applyAlignment="1" applyProtection="1">
      <alignment vertical="center"/>
      <protection locked="0"/>
    </xf>
    <xf numFmtId="0" fontId="2" fillId="0" borderId="0" xfId="2" applyFont="1" applyAlignment="1">
      <alignment horizontal="left" vertical="center"/>
    </xf>
    <xf numFmtId="0" fontId="2" fillId="2" borderId="0" xfId="2" applyFont="1" applyFill="1" applyAlignment="1">
      <alignment horizontal="left" vertical="center" wrapText="1"/>
    </xf>
    <xf numFmtId="0" fontId="2" fillId="2" borderId="0" xfId="2" applyFont="1" applyFill="1" applyAlignment="1" applyProtection="1">
      <alignment horizontal="left" vertical="center" wrapText="1"/>
    </xf>
    <xf numFmtId="0" fontId="2" fillId="4" borderId="45" xfId="2" applyFont="1" applyFill="1" applyBorder="1" applyAlignment="1" applyProtection="1">
      <alignment horizontal="center" vertical="center"/>
      <protection locked="0"/>
    </xf>
    <xf numFmtId="42" fontId="8" fillId="0" borderId="46" xfId="2" applyNumberFormat="1" applyFont="1" applyBorder="1" applyAlignment="1" applyProtection="1">
      <alignment vertical="center"/>
      <protection locked="0"/>
    </xf>
    <xf numFmtId="42" fontId="7" fillId="4" borderId="46" xfId="2" applyNumberFormat="1" applyFont="1" applyFill="1" applyBorder="1" applyAlignment="1" applyProtection="1">
      <alignment horizontal="right" vertical="center"/>
      <protection locked="0"/>
    </xf>
    <xf numFmtId="42" fontId="7" fillId="4" borderId="46" xfId="2" applyNumberFormat="1" applyFont="1" applyFill="1" applyBorder="1" applyAlignment="1" applyProtection="1">
      <alignment vertical="center"/>
      <protection locked="0"/>
    </xf>
    <xf numFmtId="42" fontId="8" fillId="0" borderId="46" xfId="2" applyNumberFormat="1" applyFont="1" applyFill="1" applyBorder="1" applyAlignment="1" applyProtection="1">
      <alignment vertical="center"/>
      <protection locked="0"/>
    </xf>
    <xf numFmtId="42" fontId="7" fillId="4" borderId="45" xfId="2" applyNumberFormat="1" applyFont="1" applyFill="1" applyBorder="1" applyAlignment="1" applyProtection="1">
      <alignment vertical="center"/>
      <protection locked="0"/>
    </xf>
    <xf numFmtId="42" fontId="2" fillId="0" borderId="46" xfId="2" applyNumberFormat="1" applyFont="1" applyBorder="1" applyAlignment="1" applyProtection="1">
      <alignment horizontal="right" vertical="center"/>
      <protection locked="0"/>
    </xf>
    <xf numFmtId="42" fontId="7" fillId="0" borderId="46" xfId="2" applyNumberFormat="1" applyFont="1" applyBorder="1" applyAlignment="1" applyProtection="1">
      <alignment vertical="center"/>
      <protection locked="0"/>
    </xf>
    <xf numFmtId="42" fontId="2" fillId="4" borderId="45" xfId="2" applyNumberFormat="1" applyFont="1" applyFill="1" applyBorder="1" applyAlignment="1" applyProtection="1">
      <alignment vertical="center"/>
      <protection locked="0"/>
    </xf>
    <xf numFmtId="42" fontId="2" fillId="4" borderId="46" xfId="2" applyNumberFormat="1" applyFont="1" applyFill="1" applyBorder="1" applyAlignment="1" applyProtection="1">
      <alignment vertical="center"/>
      <protection locked="0"/>
    </xf>
    <xf numFmtId="0" fontId="2" fillId="3" borderId="29" xfId="2" applyFont="1" applyFill="1" applyBorder="1" applyAlignment="1" applyProtection="1">
      <alignment horizontal="center" vertical="center" wrapText="1"/>
    </xf>
    <xf numFmtId="0" fontId="2" fillId="4" borderId="20" xfId="2" applyFont="1" applyFill="1" applyBorder="1" applyAlignment="1" applyProtection="1">
      <alignment horizontal="center" vertical="center"/>
      <protection locked="0"/>
    </xf>
    <xf numFmtId="0" fontId="8" fillId="0" borderId="47" xfId="2" applyFont="1" applyBorder="1" applyAlignment="1">
      <alignment vertical="center"/>
    </xf>
    <xf numFmtId="42" fontId="8" fillId="0" borderId="17" xfId="2" applyNumberFormat="1" applyFont="1" applyBorder="1" applyAlignment="1" applyProtection="1">
      <alignment vertical="center"/>
      <protection locked="0"/>
    </xf>
    <xf numFmtId="42" fontId="7" fillId="4" borderId="17" xfId="2" applyNumberFormat="1" applyFont="1" applyFill="1" applyBorder="1" applyAlignment="1" applyProtection="1">
      <alignment horizontal="right" vertical="center"/>
      <protection locked="0"/>
    </xf>
    <xf numFmtId="42" fontId="7" fillId="4" borderId="17" xfId="2" applyNumberFormat="1" applyFont="1" applyFill="1" applyBorder="1" applyAlignment="1" applyProtection="1">
      <alignment vertical="center"/>
      <protection locked="0"/>
    </xf>
    <xf numFmtId="42" fontId="8" fillId="0" borderId="17" xfId="2" applyNumberFormat="1" applyFont="1" applyFill="1" applyBorder="1" applyAlignment="1" applyProtection="1">
      <alignment vertical="center"/>
      <protection locked="0"/>
    </xf>
    <xf numFmtId="42" fontId="7" fillId="4" borderId="20" xfId="2" applyNumberFormat="1" applyFont="1" applyFill="1" applyBorder="1" applyAlignment="1" applyProtection="1">
      <alignment vertical="center"/>
      <protection locked="0"/>
    </xf>
    <xf numFmtId="42" fontId="8" fillId="0" borderId="47" xfId="2" applyNumberFormat="1" applyBorder="1" applyAlignment="1" applyProtection="1">
      <alignment vertical="center"/>
      <protection locked="0"/>
    </xf>
    <xf numFmtId="42" fontId="8" fillId="0" borderId="23" xfId="2" applyNumberFormat="1" applyFont="1" applyFill="1" applyBorder="1" applyAlignment="1" applyProtection="1">
      <alignment vertical="center"/>
      <protection locked="0"/>
    </xf>
    <xf numFmtId="42" fontId="2" fillId="4" borderId="20" xfId="2" applyNumberFormat="1" applyFont="1" applyFill="1" applyBorder="1" applyAlignment="1" applyProtection="1">
      <alignment vertical="center"/>
      <protection locked="0"/>
    </xf>
    <xf numFmtId="42" fontId="8" fillId="0" borderId="47" xfId="2" applyNumberFormat="1" applyBorder="1" applyAlignment="1">
      <alignment vertical="center" wrapText="1"/>
    </xf>
    <xf numFmtId="42" fontId="2" fillId="4" borderId="17" xfId="2" applyNumberFormat="1" applyFont="1" applyFill="1" applyBorder="1" applyAlignment="1" applyProtection="1">
      <alignment vertical="center"/>
      <protection locked="0"/>
    </xf>
    <xf numFmtId="0" fontId="10" fillId="0" borderId="0" xfId="0" applyFont="1" applyFill="1" applyAlignment="1">
      <alignment vertical="center"/>
    </xf>
    <xf numFmtId="0" fontId="10" fillId="0" borderId="0" xfId="0" applyFont="1" applyFill="1" applyAlignment="1">
      <alignment vertical="center" wrapText="1"/>
    </xf>
    <xf numFmtId="0" fontId="4" fillId="2" borderId="0" xfId="0" applyFont="1" applyFill="1" applyBorder="1" applyAlignment="1" applyProtection="1">
      <alignment vertical="center" wrapText="1"/>
    </xf>
    <xf numFmtId="0" fontId="2" fillId="0" borderId="6" xfId="0" applyFont="1" applyBorder="1" applyAlignment="1" applyProtection="1">
      <alignment vertical="center"/>
      <protection locked="0"/>
    </xf>
    <xf numFmtId="0" fontId="2" fillId="0" borderId="6" xfId="0" applyFont="1" applyFill="1" applyBorder="1" applyAlignment="1">
      <alignment horizontal="left"/>
    </xf>
    <xf numFmtId="0" fontId="8" fillId="0" borderId="0" xfId="0" applyFont="1" applyFill="1" applyBorder="1" applyAlignment="1" applyProtection="1">
      <alignment vertical="center" wrapText="1"/>
    </xf>
    <xf numFmtId="0" fontId="2" fillId="0" borderId="0" xfId="2" applyFont="1" applyAlignment="1">
      <alignment horizontal="left" vertical="center"/>
    </xf>
    <xf numFmtId="0" fontId="2" fillId="2" borderId="0" xfId="2" applyFont="1" applyFill="1" applyAlignment="1">
      <alignment horizontal="left" vertical="center" wrapText="1"/>
    </xf>
    <xf numFmtId="0" fontId="2" fillId="0" borderId="0" xfId="2" applyFont="1" applyAlignment="1" applyProtection="1">
      <alignment horizontal="left" vertical="center"/>
    </xf>
    <xf numFmtId="0" fontId="2" fillId="2" borderId="0" xfId="2" applyFont="1" applyFill="1" applyAlignment="1" applyProtection="1">
      <alignment horizontal="left" vertical="center" wrapText="1"/>
    </xf>
    <xf numFmtId="0" fontId="4" fillId="2" borderId="0" xfId="0" applyFont="1" applyFill="1" applyBorder="1" applyAlignment="1" applyProtection="1">
      <alignment vertical="center" wrapText="1"/>
      <protection locked="0"/>
    </xf>
    <xf numFmtId="0" fontId="2" fillId="0" borderId="0" xfId="0" applyFont="1" applyBorder="1" applyAlignment="1" applyProtection="1">
      <alignment vertical="center"/>
    </xf>
    <xf numFmtId="0" fontId="2" fillId="0" borderId="0" xfId="0" applyFont="1" applyBorder="1" applyAlignment="1">
      <alignment vertical="center"/>
    </xf>
    <xf numFmtId="0" fontId="2" fillId="0" borderId="0" xfId="0" applyFont="1" applyFill="1" applyBorder="1" applyAlignment="1">
      <alignment vertical="center"/>
    </xf>
    <xf numFmtId="164" fontId="8" fillId="5" borderId="47" xfId="1" applyNumberFormat="1" applyFont="1" applyFill="1" applyBorder="1" applyAlignment="1" applyProtection="1">
      <alignment vertical="center"/>
      <protection locked="0"/>
    </xf>
    <xf numFmtId="0" fontId="0" fillId="4" borderId="0" xfId="0" applyFill="1" applyBorder="1" applyAlignment="1" applyProtection="1">
      <alignment vertical="center" wrapText="1"/>
      <protection locked="0"/>
    </xf>
    <xf numFmtId="42" fontId="2" fillId="0" borderId="17" xfId="2" applyNumberFormat="1" applyFont="1" applyBorder="1" applyAlignment="1" applyProtection="1">
      <alignment horizontal="right" vertical="center"/>
      <protection locked="0"/>
    </xf>
    <xf numFmtId="42" fontId="7" fillId="0" borderId="17" xfId="2" applyNumberFormat="1" applyFont="1" applyBorder="1" applyAlignment="1" applyProtection="1">
      <alignment vertical="center"/>
      <protection locked="0"/>
    </xf>
    <xf numFmtId="166" fontId="8" fillId="0" borderId="46" xfId="2" applyNumberFormat="1" applyFont="1" applyBorder="1" applyAlignment="1" applyProtection="1">
      <alignment vertical="center"/>
      <protection locked="0"/>
    </xf>
    <xf numFmtId="166" fontId="7" fillId="4" borderId="45" xfId="2" applyNumberFormat="1" applyFont="1" applyFill="1" applyBorder="1" applyAlignment="1" applyProtection="1">
      <alignment vertical="center"/>
      <protection locked="0"/>
    </xf>
    <xf numFmtId="42" fontId="8" fillId="0" borderId="47" xfId="2" applyNumberFormat="1" applyFont="1" applyBorder="1" applyAlignment="1" applyProtection="1">
      <alignment vertical="center"/>
      <protection locked="0"/>
    </xf>
    <xf numFmtId="42" fontId="8" fillId="0" borderId="17" xfId="2" applyNumberFormat="1" applyFont="1" applyFill="1" applyBorder="1" applyAlignment="1" applyProtection="1">
      <alignment vertical="center"/>
    </xf>
    <xf numFmtId="42" fontId="8" fillId="0" borderId="23" xfId="2" applyNumberFormat="1" applyFont="1" applyFill="1" applyBorder="1" applyAlignment="1" applyProtection="1">
      <alignment vertical="center"/>
    </xf>
    <xf numFmtId="0" fontId="8" fillId="0" borderId="47" xfId="2" applyBorder="1" applyAlignment="1">
      <alignment vertical="center"/>
    </xf>
    <xf numFmtId="166" fontId="8" fillId="0" borderId="17" xfId="2" applyNumberFormat="1" applyFont="1" applyBorder="1" applyAlignment="1" applyProtection="1">
      <alignment vertical="center"/>
      <protection locked="0"/>
    </xf>
    <xf numFmtId="166" fontId="7" fillId="4" borderId="20" xfId="2" applyNumberFormat="1" applyFont="1" applyFill="1" applyBorder="1" applyAlignment="1" applyProtection="1">
      <alignment vertical="center"/>
      <protection locked="0"/>
    </xf>
    <xf numFmtId="42" fontId="8" fillId="0" borderId="46" xfId="2" applyNumberFormat="1" applyFont="1" applyFill="1" applyBorder="1" applyAlignment="1" applyProtection="1">
      <alignment vertical="center"/>
    </xf>
    <xf numFmtId="0" fontId="8" fillId="0" borderId="47" xfId="2" applyFont="1" applyBorder="1" applyAlignment="1" applyProtection="1">
      <alignment vertical="center"/>
    </xf>
    <xf numFmtId="42" fontId="8" fillId="0" borderId="47" xfId="2" applyNumberFormat="1" applyBorder="1" applyAlignment="1" applyProtection="1">
      <alignment vertical="center"/>
    </xf>
    <xf numFmtId="42" fontId="8" fillId="0" borderId="47" xfId="2" applyNumberFormat="1" applyBorder="1" applyAlignment="1" applyProtection="1">
      <alignment vertical="center" wrapText="1"/>
    </xf>
    <xf numFmtId="0" fontId="8" fillId="0" borderId="47" xfId="2" applyBorder="1" applyAlignment="1" applyProtection="1">
      <alignment vertical="center"/>
    </xf>
    <xf numFmtId="165" fontId="3" fillId="0" borderId="0" xfId="1" applyNumberFormat="1" applyFont="1" applyFill="1" applyBorder="1" applyAlignment="1" applyProtection="1">
      <alignment vertical="center" wrapText="1"/>
      <protection locked="0"/>
    </xf>
    <xf numFmtId="0" fontId="2" fillId="0" borderId="18" xfId="0" applyFont="1" applyBorder="1" applyAlignment="1">
      <alignment vertical="center"/>
    </xf>
    <xf numFmtId="0" fontId="2" fillId="0" borderId="1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8" xfId="0" applyFont="1" applyBorder="1" applyAlignment="1">
      <alignment vertical="center"/>
    </xf>
    <xf numFmtId="0" fontId="2" fillId="0" borderId="9" xfId="0" applyFont="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0" xfId="0" applyFont="1" applyBorder="1" applyAlignment="1" applyProtection="1">
      <alignment horizontal="left" vertical="center"/>
    </xf>
    <xf numFmtId="0" fontId="4" fillId="2" borderId="0" xfId="0" applyFont="1" applyFill="1" applyBorder="1" applyAlignment="1" applyProtection="1">
      <alignment vertical="center" wrapText="1"/>
    </xf>
    <xf numFmtId="0" fontId="4" fillId="2" borderId="26" xfId="0" applyFont="1" applyFill="1" applyBorder="1" applyAlignment="1" applyProtection="1">
      <alignment vertical="center" wrapText="1"/>
      <protection locked="0"/>
    </xf>
    <xf numFmtId="0" fontId="2" fillId="0" borderId="9"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2" fillId="0" borderId="6" xfId="0" applyFont="1" applyFill="1" applyBorder="1" applyAlignment="1">
      <alignment horizontal="left"/>
    </xf>
    <xf numFmtId="0" fontId="0" fillId="0" borderId="6" xfId="0" applyBorder="1" applyAlignment="1"/>
    <xf numFmtId="0" fontId="2" fillId="0" borderId="1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8" fillId="0" borderId="5"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8" fillId="0" borderId="33" xfId="0" applyFont="1" applyFill="1" applyBorder="1" applyAlignment="1" applyProtection="1">
      <alignment vertical="center" wrapText="1"/>
    </xf>
    <xf numFmtId="0" fontId="0" fillId="4" borderId="25" xfId="0" applyFill="1" applyBorder="1" applyAlignment="1" applyProtection="1">
      <alignment vertical="center" wrapText="1"/>
      <protection locked="0"/>
    </xf>
    <xf numFmtId="0" fontId="0" fillId="4" borderId="26" xfId="0" applyFill="1" applyBorder="1" applyAlignment="1" applyProtection="1">
      <alignment vertical="center" wrapText="1"/>
      <protection locked="0"/>
    </xf>
    <xf numFmtId="0" fontId="0" fillId="4" borderId="27" xfId="0" applyFill="1" applyBorder="1" applyAlignment="1" applyProtection="1">
      <alignment vertical="center" wrapText="1"/>
      <protection locked="0"/>
    </xf>
    <xf numFmtId="0" fontId="7" fillId="0" borderId="18" xfId="0" applyFont="1" applyBorder="1" applyAlignment="1" applyProtection="1">
      <alignment vertical="center"/>
      <protection locked="0"/>
    </xf>
    <xf numFmtId="0" fontId="7" fillId="0" borderId="19" xfId="0" applyFont="1" applyBorder="1" applyAlignment="1" applyProtection="1">
      <alignment vertical="center"/>
      <protection locked="0"/>
    </xf>
    <xf numFmtId="0" fontId="4" fillId="0" borderId="8" xfId="0" applyFont="1" applyBorder="1" applyAlignment="1">
      <alignment vertical="center"/>
    </xf>
    <xf numFmtId="0" fontId="4" fillId="0" borderId="9" xfId="0" applyFont="1" applyBorder="1" applyAlignment="1">
      <alignment vertical="center"/>
    </xf>
    <xf numFmtId="0" fontId="4" fillId="0" borderId="18" xfId="0" applyFont="1" applyBorder="1" applyAlignment="1" applyProtection="1">
      <alignment vertical="center"/>
      <protection locked="0"/>
    </xf>
    <xf numFmtId="0" fontId="4" fillId="0" borderId="19" xfId="0" applyFont="1" applyBorder="1" applyAlignment="1" applyProtection="1">
      <alignment vertical="center"/>
      <protection locked="0"/>
    </xf>
    <xf numFmtId="0" fontId="2" fillId="0" borderId="11"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42" fontId="2" fillId="0" borderId="11" xfId="2" applyNumberFormat="1" applyFont="1" applyBorder="1" applyAlignment="1">
      <alignment horizontal="left" vertical="center" wrapText="1"/>
    </xf>
    <xf numFmtId="42" fontId="8" fillId="0" borderId="12" xfId="2" applyNumberFormat="1" applyBorder="1" applyAlignment="1">
      <alignment vertical="center" wrapText="1"/>
    </xf>
    <xf numFmtId="0" fontId="2" fillId="0" borderId="11" xfId="2" applyFont="1" applyBorder="1" applyAlignment="1">
      <alignment horizontal="left" vertical="center" wrapText="1"/>
    </xf>
    <xf numFmtId="0" fontId="8" fillId="0" borderId="12" xfId="2" applyBorder="1" applyAlignment="1">
      <alignment vertical="center"/>
    </xf>
    <xf numFmtId="0" fontId="2" fillId="0" borderId="14" xfId="2" applyFont="1" applyBorder="1" applyAlignment="1" applyProtection="1">
      <alignment vertical="center"/>
      <protection locked="0"/>
    </xf>
    <xf numFmtId="0" fontId="8" fillId="0" borderId="15" xfId="2" applyBorder="1" applyAlignment="1">
      <alignment vertical="center"/>
    </xf>
    <xf numFmtId="0" fontId="2" fillId="0" borderId="11" xfId="2" applyFont="1" applyBorder="1" applyAlignment="1">
      <alignment vertical="center"/>
    </xf>
    <xf numFmtId="0" fontId="2" fillId="0" borderId="0" xfId="2" applyFont="1" applyAlignment="1">
      <alignment horizontal="left" vertical="center"/>
    </xf>
    <xf numFmtId="0" fontId="4" fillId="2" borderId="0" xfId="2" applyFont="1" applyFill="1" applyAlignment="1">
      <alignment horizontal="left" vertical="center" wrapText="1"/>
    </xf>
    <xf numFmtId="0" fontId="2" fillId="2" borderId="0" xfId="2" applyFont="1" applyFill="1" applyAlignment="1">
      <alignment horizontal="left" vertical="center" wrapText="1"/>
    </xf>
    <xf numFmtId="0" fontId="2" fillId="0" borderId="37" xfId="2" applyFont="1" applyBorder="1" applyAlignment="1">
      <alignment horizontal="center" vertical="center" wrapText="1"/>
    </xf>
    <xf numFmtId="0" fontId="2" fillId="3" borderId="38" xfId="2" applyFont="1" applyFill="1" applyBorder="1" applyAlignment="1" applyProtection="1">
      <alignment horizontal="center" vertical="center" wrapText="1"/>
    </xf>
    <xf numFmtId="0" fontId="2" fillId="3" borderId="12" xfId="2" applyFont="1" applyFill="1" applyBorder="1" applyAlignment="1" applyProtection="1">
      <alignment horizontal="center" vertical="center" wrapText="1"/>
    </xf>
    <xf numFmtId="0" fontId="2" fillId="0" borderId="11" xfId="2" applyFont="1" applyBorder="1" applyAlignment="1">
      <alignment horizontal="left" vertical="center"/>
    </xf>
    <xf numFmtId="0" fontId="8" fillId="0" borderId="12" xfId="2" applyFont="1" applyBorder="1" applyAlignment="1">
      <alignment vertical="center"/>
    </xf>
    <xf numFmtId="42" fontId="2" fillId="0" borderId="11" xfId="2" applyNumberFormat="1" applyFont="1" applyBorder="1" applyAlignment="1" applyProtection="1">
      <alignment horizontal="left" vertical="center"/>
      <protection locked="0"/>
    </xf>
    <xf numFmtId="42" fontId="8" fillId="0" borderId="12" xfId="2" applyNumberFormat="1" applyBorder="1" applyAlignment="1" applyProtection="1">
      <alignment vertical="center"/>
      <protection locked="0"/>
    </xf>
    <xf numFmtId="42" fontId="2" fillId="0" borderId="11" xfId="2" applyNumberFormat="1" applyFont="1" applyBorder="1" applyAlignment="1" applyProtection="1">
      <alignment horizontal="left" vertical="center"/>
    </xf>
    <xf numFmtId="42" fontId="8" fillId="0" borderId="12" xfId="2" applyNumberFormat="1" applyBorder="1" applyAlignment="1" applyProtection="1">
      <alignment vertical="center"/>
    </xf>
    <xf numFmtId="0" fontId="2" fillId="0" borderId="0" xfId="2" applyFont="1" applyAlignment="1" applyProtection="1">
      <alignment horizontal="left" vertical="center"/>
    </xf>
    <xf numFmtId="0" fontId="4" fillId="2" borderId="0" xfId="2" applyFont="1" applyFill="1" applyAlignment="1" applyProtection="1">
      <alignment horizontal="left" vertical="center" wrapText="1"/>
    </xf>
    <xf numFmtId="0" fontId="2" fillId="2" borderId="0" xfId="2" applyFont="1" applyFill="1" applyAlignment="1" applyProtection="1">
      <alignment horizontal="left" vertical="center" wrapText="1"/>
    </xf>
    <xf numFmtId="0" fontId="2" fillId="0" borderId="37" xfId="2" applyFont="1" applyBorder="1" applyAlignment="1" applyProtection="1">
      <alignment horizontal="center" vertical="center" wrapText="1"/>
    </xf>
    <xf numFmtId="0" fontId="2" fillId="0" borderId="11" xfId="2" applyFont="1" applyBorder="1" applyAlignment="1" applyProtection="1">
      <alignment horizontal="left" vertical="center"/>
    </xf>
    <xf numFmtId="0" fontId="8" fillId="0" borderId="12" xfId="2" applyFont="1" applyBorder="1" applyAlignment="1" applyProtection="1">
      <alignment vertical="center"/>
    </xf>
    <xf numFmtId="42" fontId="2" fillId="0" borderId="11" xfId="2" applyNumberFormat="1" applyFont="1" applyBorder="1" applyAlignment="1" applyProtection="1">
      <alignment horizontal="left" vertical="center" wrapText="1"/>
    </xf>
    <xf numFmtId="42" fontId="8" fillId="0" borderId="12" xfId="2" applyNumberFormat="1" applyBorder="1" applyAlignment="1" applyProtection="1">
      <alignment vertical="center" wrapText="1"/>
    </xf>
    <xf numFmtId="0" fontId="2" fillId="0" borderId="11" xfId="2" applyFont="1" applyBorder="1" applyAlignment="1" applyProtection="1">
      <alignment horizontal="left" vertical="center" wrapText="1"/>
    </xf>
    <xf numFmtId="0" fontId="8" fillId="0" borderId="12" xfId="2" applyBorder="1" applyAlignment="1" applyProtection="1">
      <alignment vertical="center"/>
    </xf>
    <xf numFmtId="0" fontId="2" fillId="0" borderId="14" xfId="2" applyFont="1" applyBorder="1" applyAlignment="1" applyProtection="1">
      <alignment vertical="center"/>
    </xf>
    <xf numFmtId="0" fontId="7" fillId="0" borderId="14" xfId="2" applyFont="1" applyBorder="1" applyAlignment="1" applyProtection="1">
      <alignment horizontal="left" vertical="center"/>
    </xf>
  </cellXfs>
  <cellStyles count="3">
    <cellStyle name="Currency" xfId="1" builtinId="4"/>
    <cellStyle name="Normal" xfId="0" builtinId="0"/>
    <cellStyle name="Normal 1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76"/>
  <sheetViews>
    <sheetView tabSelected="1" zoomScale="70" zoomScaleNormal="70" workbookViewId="0">
      <selection sqref="A1:E1"/>
    </sheetView>
  </sheetViews>
  <sheetFormatPr defaultRowHeight="15.75" customHeight="1" x14ac:dyDescent="0.25"/>
  <cols>
    <col min="1" max="1" width="2.85546875" bestFit="1" customWidth="1"/>
    <col min="2" max="2" width="3.85546875" customWidth="1"/>
    <col min="3" max="3" width="4.28515625" customWidth="1"/>
    <col min="4" max="4" width="41.85546875" customWidth="1"/>
    <col min="5" max="5" width="20.28515625" customWidth="1"/>
    <col min="6" max="6" width="20" customWidth="1"/>
    <col min="7" max="10" width="20.28515625" customWidth="1"/>
    <col min="11" max="11" width="16.28515625" customWidth="1"/>
    <col min="12" max="12" width="54" customWidth="1"/>
  </cols>
  <sheetData>
    <row r="1" spans="1:12" ht="15.75" customHeight="1" x14ac:dyDescent="0.25">
      <c r="A1" s="260" t="s">
        <v>190</v>
      </c>
      <c r="B1" s="260"/>
      <c r="C1" s="260"/>
      <c r="D1" s="260"/>
      <c r="E1" s="260"/>
      <c r="F1" s="1"/>
      <c r="G1" s="1"/>
      <c r="H1" s="1"/>
      <c r="I1" s="1"/>
      <c r="J1" s="1"/>
      <c r="K1" s="1"/>
      <c r="L1" s="2"/>
    </row>
    <row r="2" spans="1:12" ht="51" customHeight="1" x14ac:dyDescent="0.25">
      <c r="A2" s="261" t="s">
        <v>0</v>
      </c>
      <c r="B2" s="261"/>
      <c r="C2" s="261"/>
      <c r="D2" s="261"/>
      <c r="E2" s="261"/>
      <c r="F2" s="261"/>
      <c r="G2" s="261"/>
      <c r="H2" s="220"/>
      <c r="I2" s="218"/>
      <c r="J2" s="219"/>
      <c r="K2" s="219"/>
      <c r="L2" s="3"/>
    </row>
    <row r="3" spans="1:12" ht="53.1" customHeight="1" thickBot="1" x14ac:dyDescent="0.3">
      <c r="A3" s="262" t="s">
        <v>1</v>
      </c>
      <c r="B3" s="262"/>
      <c r="C3" s="262"/>
      <c r="D3" s="262"/>
      <c r="E3" s="262"/>
      <c r="F3" s="262"/>
      <c r="G3" s="262"/>
      <c r="H3" s="228"/>
      <c r="I3" s="218"/>
      <c r="J3" s="218"/>
      <c r="K3" s="219"/>
      <c r="L3" s="4"/>
    </row>
    <row r="4" spans="1:12" ht="39" thickBot="1" x14ac:dyDescent="0.3">
      <c r="A4" s="5"/>
      <c r="B4" s="6"/>
      <c r="C4" s="6"/>
      <c r="D4" s="7"/>
      <c r="E4" s="8" t="s">
        <v>2</v>
      </c>
      <c r="F4" s="8" t="s">
        <v>3</v>
      </c>
      <c r="G4" s="8" t="s">
        <v>174</v>
      </c>
      <c r="H4" s="8" t="s">
        <v>175</v>
      </c>
      <c r="I4" s="8" t="s">
        <v>97</v>
      </c>
      <c r="J4" s="8" t="s">
        <v>98</v>
      </c>
      <c r="K4" s="105" t="s">
        <v>99</v>
      </c>
      <c r="L4" s="4"/>
    </row>
    <row r="5" spans="1:12" ht="15.75" customHeight="1" thickBot="1" x14ac:dyDescent="0.3">
      <c r="A5" s="9" t="s">
        <v>4</v>
      </c>
      <c r="B5" s="263" t="s">
        <v>5</v>
      </c>
      <c r="C5" s="263"/>
      <c r="D5" s="263"/>
      <c r="E5" s="263"/>
      <c r="F5" s="263"/>
      <c r="G5" s="264"/>
      <c r="H5" s="221"/>
      <c r="I5" s="267"/>
      <c r="J5" s="268"/>
      <c r="K5" s="125"/>
      <c r="L5" s="4" t="s">
        <v>6</v>
      </c>
    </row>
    <row r="6" spans="1:12" ht="15.75" customHeight="1" thickBot="1" x14ac:dyDescent="0.3">
      <c r="A6" s="10"/>
      <c r="B6" s="11" t="s">
        <v>7</v>
      </c>
      <c r="C6" s="265" t="s">
        <v>8</v>
      </c>
      <c r="D6" s="265"/>
      <c r="E6" s="265"/>
      <c r="F6" s="265"/>
      <c r="G6" s="266"/>
      <c r="H6" s="229"/>
      <c r="I6" s="106"/>
      <c r="J6" s="106"/>
      <c r="K6" s="126"/>
      <c r="L6" s="12"/>
    </row>
    <row r="7" spans="1:12" ht="15.75" customHeight="1" thickBot="1" x14ac:dyDescent="0.3">
      <c r="A7" s="13"/>
      <c r="B7" s="14"/>
      <c r="C7" s="15" t="s">
        <v>9</v>
      </c>
      <c r="D7" s="16" t="s">
        <v>10</v>
      </c>
      <c r="E7" s="17">
        <f>8950000*0.317</f>
        <v>2837150</v>
      </c>
      <c r="F7" s="18"/>
      <c r="G7" s="18">
        <f>SUM(E7:F7)</f>
        <v>2837150</v>
      </c>
      <c r="H7" s="18">
        <v>2837150</v>
      </c>
      <c r="I7" s="18">
        <v>2837150</v>
      </c>
      <c r="J7" s="121">
        <f>SUM(I7-H7)</f>
        <v>0</v>
      </c>
      <c r="K7" s="127"/>
      <c r="L7" s="249"/>
    </row>
    <row r="8" spans="1:12" ht="15.75" customHeight="1" x14ac:dyDescent="0.25">
      <c r="A8" s="20"/>
      <c r="B8" s="21"/>
      <c r="C8" s="22" t="s">
        <v>11</v>
      </c>
      <c r="D8" s="252" t="s">
        <v>12</v>
      </c>
      <c r="E8" s="252"/>
      <c r="F8" s="252"/>
      <c r="G8" s="253"/>
      <c r="H8" s="107"/>
      <c r="I8" s="107"/>
      <c r="J8" s="120"/>
      <c r="K8" s="128"/>
      <c r="L8" s="12"/>
    </row>
    <row r="9" spans="1:12" ht="15.75" customHeight="1" x14ac:dyDescent="0.25">
      <c r="A9" s="23"/>
      <c r="B9" s="24"/>
      <c r="C9" s="25" t="s">
        <v>13</v>
      </c>
      <c r="D9" s="26" t="s">
        <v>14</v>
      </c>
      <c r="E9" s="27">
        <v>52383532</v>
      </c>
      <c r="F9" s="27"/>
      <c r="G9" s="27">
        <f>SUM(E9:F9)</f>
        <v>52383532</v>
      </c>
      <c r="H9" s="27">
        <f>70240505-2104898</f>
        <v>68135607</v>
      </c>
      <c r="I9" s="27">
        <v>68135607</v>
      </c>
      <c r="J9" s="122">
        <f t="shared" ref="J9:J14" si="0">SUM(I9-H9)</f>
        <v>0</v>
      </c>
      <c r="K9" s="129">
        <f>J9/H9</f>
        <v>0</v>
      </c>
      <c r="L9" s="12"/>
    </row>
    <row r="10" spans="1:12" ht="15.75" customHeight="1" x14ac:dyDescent="0.25">
      <c r="A10" s="23"/>
      <c r="B10" s="24"/>
      <c r="C10" s="28" t="s">
        <v>15</v>
      </c>
      <c r="D10" s="29" t="s">
        <v>16</v>
      </c>
      <c r="E10" s="30" t="s">
        <v>17</v>
      </c>
      <c r="F10" s="27"/>
      <c r="G10" s="27" t="s">
        <v>17</v>
      </c>
      <c r="H10" s="27"/>
      <c r="I10" s="27"/>
      <c r="J10" s="122">
        <f t="shared" si="0"/>
        <v>0</v>
      </c>
      <c r="K10" s="129"/>
      <c r="L10" s="12" t="s">
        <v>18</v>
      </c>
    </row>
    <row r="11" spans="1:12" ht="15.75" customHeight="1" x14ac:dyDescent="0.25">
      <c r="A11" s="23"/>
      <c r="B11" s="24"/>
      <c r="C11" s="31" t="s">
        <v>19</v>
      </c>
      <c r="D11" s="32" t="s">
        <v>20</v>
      </c>
      <c r="E11" s="27">
        <v>315000</v>
      </c>
      <c r="F11" s="33"/>
      <c r="G11" s="33">
        <f>SUM(E11:F11)</f>
        <v>315000</v>
      </c>
      <c r="H11" s="27">
        <f>133500</f>
        <v>133500</v>
      </c>
      <c r="I11" s="27">
        <v>133500</v>
      </c>
      <c r="J11" s="122">
        <f t="shared" si="0"/>
        <v>0</v>
      </c>
      <c r="K11" s="129">
        <f t="shared" ref="K11:K14" si="1">J11/H11</f>
        <v>0</v>
      </c>
      <c r="L11" s="12"/>
    </row>
    <row r="12" spans="1:12" ht="15.75" customHeight="1" x14ac:dyDescent="0.25">
      <c r="A12" s="23"/>
      <c r="B12" s="24"/>
      <c r="C12" s="31" t="s">
        <v>21</v>
      </c>
      <c r="D12" s="24" t="s">
        <v>22</v>
      </c>
      <c r="E12" s="34">
        <v>5048863</v>
      </c>
      <c r="F12" s="35"/>
      <c r="G12" s="33">
        <f>SUM(E12:F12)</f>
        <v>5048863</v>
      </c>
      <c r="H12" s="27">
        <v>6055099</v>
      </c>
      <c r="I12" s="27">
        <v>6055099</v>
      </c>
      <c r="K12" s="129">
        <f t="shared" si="1"/>
        <v>0</v>
      </c>
      <c r="L12" s="12"/>
    </row>
    <row r="13" spans="1:12" ht="15.75" customHeight="1" x14ac:dyDescent="0.25">
      <c r="A13" s="23"/>
      <c r="B13" s="24"/>
      <c r="C13" s="31" t="s">
        <v>23</v>
      </c>
      <c r="D13" s="32" t="s">
        <v>24</v>
      </c>
      <c r="E13" s="34">
        <v>1059000</v>
      </c>
      <c r="F13" s="35"/>
      <c r="G13" s="33">
        <f>SUM(E13:F13)</f>
        <v>1059000</v>
      </c>
      <c r="H13" s="27">
        <v>731552</v>
      </c>
      <c r="I13" s="27">
        <v>731552</v>
      </c>
      <c r="J13" s="122">
        <f t="shared" si="0"/>
        <v>0</v>
      </c>
      <c r="K13" s="129">
        <f t="shared" si="1"/>
        <v>0</v>
      </c>
      <c r="L13" s="12"/>
    </row>
    <row r="14" spans="1:12" ht="15.75" customHeight="1" thickBot="1" x14ac:dyDescent="0.3">
      <c r="A14" s="250"/>
      <c r="B14" s="251"/>
      <c r="C14" s="251"/>
      <c r="D14" s="36" t="s">
        <v>25</v>
      </c>
      <c r="E14" s="37">
        <f>SUM(E9:E13)</f>
        <v>58806395</v>
      </c>
      <c r="F14" s="37">
        <f t="shared" ref="F14" si="2">SUM(F9:F13)</f>
        <v>0</v>
      </c>
      <c r="G14" s="37">
        <f>SUM(G9:G13)</f>
        <v>58806395</v>
      </c>
      <c r="H14" s="37">
        <f>SUM(H9:H13)</f>
        <v>75055758</v>
      </c>
      <c r="I14" s="37">
        <f>SUM(I9:I13)</f>
        <v>75055758</v>
      </c>
      <c r="J14" s="123">
        <f t="shared" si="0"/>
        <v>0</v>
      </c>
      <c r="K14" s="129">
        <f t="shared" si="1"/>
        <v>0</v>
      </c>
      <c r="L14" s="12" t="s">
        <v>26</v>
      </c>
    </row>
    <row r="15" spans="1:12" ht="15.75" customHeight="1" x14ac:dyDescent="0.25">
      <c r="A15" s="20"/>
      <c r="B15" s="21"/>
      <c r="C15" s="22" t="s">
        <v>27</v>
      </c>
      <c r="D15" s="252" t="s">
        <v>28</v>
      </c>
      <c r="E15" s="252"/>
      <c r="F15" s="252"/>
      <c r="G15" s="253"/>
      <c r="H15" s="230"/>
      <c r="I15" s="106"/>
      <c r="J15" s="110"/>
      <c r="K15" s="131"/>
      <c r="L15" s="12"/>
    </row>
    <row r="16" spans="1:12" ht="15.75" customHeight="1" x14ac:dyDescent="0.25">
      <c r="A16" s="23"/>
      <c r="B16" s="24"/>
      <c r="C16" s="25" t="s">
        <v>13</v>
      </c>
      <c r="D16" s="24" t="s">
        <v>14</v>
      </c>
      <c r="E16" s="33"/>
      <c r="F16" s="38"/>
      <c r="G16" s="33">
        <f>SUM(E16:F16)</f>
        <v>0</v>
      </c>
      <c r="H16" s="33"/>
      <c r="I16" s="33"/>
      <c r="J16" s="111"/>
      <c r="K16" s="132"/>
      <c r="L16" s="12"/>
    </row>
    <row r="17" spans="1:12" ht="15.75" customHeight="1" x14ac:dyDescent="0.25">
      <c r="A17" s="23"/>
      <c r="B17" s="24"/>
      <c r="C17" s="39" t="s">
        <v>15</v>
      </c>
      <c r="D17" s="32" t="s">
        <v>29</v>
      </c>
      <c r="E17" s="33"/>
      <c r="F17" s="38"/>
      <c r="G17" s="33">
        <f>SUM(E17:F17)</f>
        <v>0</v>
      </c>
      <c r="H17" s="33"/>
      <c r="I17" s="33"/>
      <c r="J17" s="111"/>
      <c r="K17" s="132"/>
      <c r="L17" s="12"/>
    </row>
    <row r="18" spans="1:12" ht="15.75" customHeight="1" x14ac:dyDescent="0.25">
      <c r="A18" s="23"/>
      <c r="B18" s="24"/>
      <c r="C18" s="39" t="s">
        <v>19</v>
      </c>
      <c r="D18" s="24" t="s">
        <v>22</v>
      </c>
      <c r="E18" s="33"/>
      <c r="F18" s="38"/>
      <c r="G18" s="33">
        <f>SUM(E18:F18)</f>
        <v>0</v>
      </c>
      <c r="H18" s="33"/>
      <c r="I18" s="33"/>
      <c r="J18" s="111"/>
      <c r="K18" s="132"/>
      <c r="L18" s="12"/>
    </row>
    <row r="19" spans="1:12" ht="15.75" customHeight="1" x14ac:dyDescent="0.25">
      <c r="A19" s="23"/>
      <c r="B19" s="24"/>
      <c r="C19" s="39" t="s">
        <v>21</v>
      </c>
      <c r="D19" s="32" t="s">
        <v>24</v>
      </c>
      <c r="E19" s="33"/>
      <c r="F19" s="38"/>
      <c r="G19" s="33">
        <f>SUM(E19:F19)</f>
        <v>0</v>
      </c>
      <c r="H19" s="33"/>
      <c r="I19" s="33"/>
      <c r="J19" s="111"/>
      <c r="K19" s="132"/>
      <c r="L19" s="12"/>
    </row>
    <row r="20" spans="1:12" ht="15.75" customHeight="1" thickBot="1" x14ac:dyDescent="0.3">
      <c r="A20" s="250"/>
      <c r="B20" s="251"/>
      <c r="C20" s="251"/>
      <c r="D20" s="36" t="s">
        <v>25</v>
      </c>
      <c r="E20" s="37">
        <f>SUM(E16:E19)</f>
        <v>0</v>
      </c>
      <c r="F20" s="37">
        <f t="shared" ref="F20" si="3">SUM(F16:F19)</f>
        <v>0</v>
      </c>
      <c r="G20" s="37">
        <f>SUM(G16:G19)</f>
        <v>0</v>
      </c>
      <c r="H20" s="37"/>
      <c r="I20" s="37">
        <f>SUM(I16:I19)</f>
        <v>0</v>
      </c>
      <c r="J20" s="109"/>
      <c r="K20" s="130"/>
      <c r="L20" s="12" t="s">
        <v>30</v>
      </c>
    </row>
    <row r="21" spans="1:12" ht="15.75" customHeight="1" x14ac:dyDescent="0.25">
      <c r="A21" s="20"/>
      <c r="B21" s="21"/>
      <c r="C21" s="22" t="s">
        <v>31</v>
      </c>
      <c r="D21" s="258" t="s">
        <v>32</v>
      </c>
      <c r="E21" s="258"/>
      <c r="F21" s="258"/>
      <c r="G21" s="259"/>
      <c r="H21" s="231"/>
      <c r="I21" s="106"/>
      <c r="J21" s="110"/>
      <c r="K21" s="131"/>
      <c r="L21" s="12"/>
    </row>
    <row r="22" spans="1:12" ht="15.75" customHeight="1" x14ac:dyDescent="0.25">
      <c r="A22" s="23"/>
      <c r="B22" s="24"/>
      <c r="C22" s="25" t="s">
        <v>13</v>
      </c>
      <c r="D22" s="32" t="s">
        <v>33</v>
      </c>
      <c r="E22" s="27">
        <v>5950000</v>
      </c>
      <c r="F22" s="33"/>
      <c r="G22" s="33">
        <f>SUM(E22:F22)</f>
        <v>5950000</v>
      </c>
      <c r="H22" s="33">
        <v>5439788</v>
      </c>
      <c r="I22" s="33">
        <v>5439788</v>
      </c>
      <c r="J22" s="122">
        <f t="shared" ref="J22:J35" si="4">SUM(I22-H22)</f>
        <v>0</v>
      </c>
      <c r="K22" s="129">
        <f t="shared" ref="K22:K35" si="5">J22/H22</f>
        <v>0</v>
      </c>
      <c r="L22" s="12"/>
    </row>
    <row r="23" spans="1:12" ht="15.75" customHeight="1" thickBot="1" x14ac:dyDescent="0.3">
      <c r="A23" s="23"/>
      <c r="B23" s="24"/>
      <c r="C23" s="31" t="s">
        <v>15</v>
      </c>
      <c r="D23" s="32" t="s">
        <v>34</v>
      </c>
      <c r="E23" s="27">
        <v>9578370</v>
      </c>
      <c r="F23" s="33"/>
      <c r="G23" s="33">
        <f>SUM(E23:F23)</f>
        <v>9578370</v>
      </c>
      <c r="H23" s="33">
        <v>9578370</v>
      </c>
      <c r="I23" s="33">
        <v>9578370</v>
      </c>
      <c r="J23" s="122">
        <f t="shared" si="4"/>
        <v>0</v>
      </c>
      <c r="K23" s="129">
        <f t="shared" si="5"/>
        <v>0</v>
      </c>
      <c r="L23" s="12"/>
    </row>
    <row r="24" spans="1:12" ht="15.75" customHeight="1" thickBot="1" x14ac:dyDescent="0.3">
      <c r="A24" s="23"/>
      <c r="B24" s="24"/>
      <c r="C24" s="39" t="s">
        <v>19</v>
      </c>
      <c r="D24" s="32" t="s">
        <v>35</v>
      </c>
      <c r="E24" s="40">
        <v>2355972</v>
      </c>
      <c r="F24" s="33"/>
      <c r="G24" s="33">
        <f>SUM(E24:F24)</f>
        <v>2355972</v>
      </c>
      <c r="H24" s="33">
        <v>2355972</v>
      </c>
      <c r="I24" s="33">
        <v>9782986</v>
      </c>
      <c r="J24" s="122">
        <f t="shared" si="4"/>
        <v>7427014</v>
      </c>
      <c r="K24" s="129">
        <f t="shared" si="5"/>
        <v>3.1524203173891712</v>
      </c>
      <c r="L24" s="12" t="s">
        <v>189</v>
      </c>
    </row>
    <row r="25" spans="1:12" ht="15.75" customHeight="1" x14ac:dyDescent="0.25">
      <c r="A25" s="41"/>
      <c r="B25" s="42"/>
      <c r="C25" s="43" t="s">
        <v>21</v>
      </c>
      <c r="D25" s="44" t="s">
        <v>36</v>
      </c>
      <c r="E25" s="45"/>
      <c r="F25" s="33"/>
      <c r="G25" s="33"/>
      <c r="H25" s="33"/>
      <c r="I25" s="33"/>
      <c r="J25" s="122">
        <f t="shared" si="4"/>
        <v>0</v>
      </c>
      <c r="K25" s="129"/>
      <c r="L25" s="46"/>
    </row>
    <row r="26" spans="1:12" ht="15.75" customHeight="1" x14ac:dyDescent="0.25">
      <c r="A26" s="47"/>
      <c r="B26" s="48"/>
      <c r="C26" s="49"/>
      <c r="D26" s="32" t="s">
        <v>37</v>
      </c>
      <c r="E26" s="50">
        <v>1000103</v>
      </c>
      <c r="F26" s="51"/>
      <c r="G26" s="33">
        <f t="shared" ref="G26:G36" si="6">SUM(E26:F26)</f>
        <v>1000103</v>
      </c>
      <c r="H26" s="33">
        <v>108531</v>
      </c>
      <c r="I26" s="33">
        <v>108531</v>
      </c>
      <c r="J26" s="122">
        <f t="shared" si="4"/>
        <v>0</v>
      </c>
      <c r="K26" s="129">
        <f t="shared" si="5"/>
        <v>0</v>
      </c>
      <c r="L26" s="46"/>
    </row>
    <row r="27" spans="1:12" ht="15.75" customHeight="1" x14ac:dyDescent="0.25">
      <c r="A27" s="47"/>
      <c r="B27" s="48"/>
      <c r="C27" s="49"/>
      <c r="D27" s="32" t="s">
        <v>38</v>
      </c>
      <c r="E27" s="50">
        <v>1000000</v>
      </c>
      <c r="F27" s="51"/>
      <c r="G27" s="33">
        <f t="shared" si="6"/>
        <v>1000000</v>
      </c>
      <c r="H27" s="33">
        <v>1368440</v>
      </c>
      <c r="I27" s="33">
        <v>1368440</v>
      </c>
      <c r="J27" s="122">
        <f t="shared" si="4"/>
        <v>0</v>
      </c>
      <c r="K27" s="129">
        <f t="shared" si="5"/>
        <v>0</v>
      </c>
      <c r="L27" s="46"/>
    </row>
    <row r="28" spans="1:12" ht="15.75" customHeight="1" x14ac:dyDescent="0.25">
      <c r="A28" s="47"/>
      <c r="B28" s="48"/>
      <c r="C28" s="49"/>
      <c r="D28" s="32" t="s">
        <v>39</v>
      </c>
      <c r="E28" s="50">
        <v>3100000</v>
      </c>
      <c r="F28" s="51"/>
      <c r="G28" s="33">
        <f t="shared" si="6"/>
        <v>3100000</v>
      </c>
      <c r="H28" s="33">
        <v>1820000</v>
      </c>
      <c r="I28" s="33">
        <v>1820000</v>
      </c>
      <c r="J28" s="122">
        <f t="shared" si="4"/>
        <v>0</v>
      </c>
      <c r="K28" s="129">
        <f t="shared" si="5"/>
        <v>0</v>
      </c>
      <c r="L28" s="46"/>
    </row>
    <row r="29" spans="1:12" ht="15.75" customHeight="1" x14ac:dyDescent="0.25">
      <c r="A29" s="47"/>
      <c r="B29" s="48"/>
      <c r="C29" s="49"/>
      <c r="D29" s="32" t="s">
        <v>40</v>
      </c>
      <c r="E29" s="50">
        <v>500000</v>
      </c>
      <c r="F29" s="51"/>
      <c r="G29" s="33">
        <f t="shared" si="6"/>
        <v>500000</v>
      </c>
      <c r="H29" s="33">
        <v>478425</v>
      </c>
      <c r="I29" s="33">
        <v>478425</v>
      </c>
      <c r="J29" s="122">
        <f t="shared" si="4"/>
        <v>0</v>
      </c>
      <c r="K29" s="129">
        <f t="shared" si="5"/>
        <v>0</v>
      </c>
      <c r="L29" s="46"/>
    </row>
    <row r="30" spans="1:12" ht="15.75" customHeight="1" x14ac:dyDescent="0.25">
      <c r="A30" s="47"/>
      <c r="B30" s="48"/>
      <c r="C30" s="49"/>
      <c r="D30" s="32" t="s">
        <v>41</v>
      </c>
      <c r="E30" s="50">
        <v>272268</v>
      </c>
      <c r="F30" s="51"/>
      <c r="G30" s="33">
        <f t="shared" si="6"/>
        <v>272268</v>
      </c>
      <c r="H30" s="33">
        <v>133200</v>
      </c>
      <c r="I30" s="33">
        <v>133200</v>
      </c>
      <c r="J30" s="122">
        <f t="shared" si="4"/>
        <v>0</v>
      </c>
      <c r="K30" s="129">
        <f t="shared" si="5"/>
        <v>0</v>
      </c>
      <c r="L30" s="46"/>
    </row>
    <row r="31" spans="1:12" ht="15.75" customHeight="1" x14ac:dyDescent="0.25">
      <c r="A31" s="47"/>
      <c r="B31" s="48"/>
      <c r="C31" s="49"/>
      <c r="D31" s="32" t="s">
        <v>42</v>
      </c>
      <c r="E31" s="50">
        <v>500000</v>
      </c>
      <c r="F31" s="51"/>
      <c r="G31" s="33">
        <f t="shared" si="6"/>
        <v>500000</v>
      </c>
      <c r="H31" s="33">
        <v>600871</v>
      </c>
      <c r="I31" s="33">
        <v>600871</v>
      </c>
      <c r="J31" s="122">
        <f t="shared" si="4"/>
        <v>0</v>
      </c>
      <c r="K31" s="129">
        <f t="shared" si="5"/>
        <v>0</v>
      </c>
      <c r="L31" s="46"/>
    </row>
    <row r="32" spans="1:12" ht="15.75" customHeight="1" x14ac:dyDescent="0.25">
      <c r="A32" s="47"/>
      <c r="B32" s="48"/>
      <c r="C32" s="49"/>
      <c r="D32" s="32" t="s">
        <v>43</v>
      </c>
      <c r="E32" s="50">
        <v>150000</v>
      </c>
      <c r="F32" s="51"/>
      <c r="G32" s="33">
        <f t="shared" si="6"/>
        <v>150000</v>
      </c>
      <c r="H32" s="33">
        <v>225050</v>
      </c>
      <c r="I32" s="33">
        <v>225050</v>
      </c>
      <c r="J32" s="122">
        <f t="shared" si="4"/>
        <v>0</v>
      </c>
      <c r="K32" s="129">
        <f t="shared" si="5"/>
        <v>0</v>
      </c>
      <c r="L32" s="46"/>
    </row>
    <row r="33" spans="1:12" ht="15.75" customHeight="1" x14ac:dyDescent="0.25">
      <c r="A33" s="47"/>
      <c r="B33" s="48"/>
      <c r="C33" s="49"/>
      <c r="D33" s="32" t="s">
        <v>44</v>
      </c>
      <c r="E33" s="50">
        <v>1410000</v>
      </c>
      <c r="F33" s="51"/>
      <c r="G33" s="33">
        <f t="shared" si="6"/>
        <v>1410000</v>
      </c>
      <c r="H33" s="33">
        <v>1252167</v>
      </c>
      <c r="I33" s="33">
        <v>1252167</v>
      </c>
      <c r="J33" s="122">
        <f t="shared" si="4"/>
        <v>0</v>
      </c>
      <c r="K33" s="129">
        <f t="shared" si="5"/>
        <v>0</v>
      </c>
      <c r="L33" s="46"/>
    </row>
    <row r="34" spans="1:12" ht="15.75" customHeight="1" x14ac:dyDescent="0.25">
      <c r="A34" s="47"/>
      <c r="B34" s="48"/>
      <c r="C34" s="49"/>
      <c r="D34" s="32" t="s">
        <v>45</v>
      </c>
      <c r="E34" s="50">
        <v>1814814</v>
      </c>
      <c r="F34" s="51"/>
      <c r="G34" s="33">
        <f t="shared" si="6"/>
        <v>1814814</v>
      </c>
      <c r="H34" s="33">
        <v>1406650</v>
      </c>
      <c r="I34" s="33">
        <v>1406650</v>
      </c>
      <c r="J34" s="122">
        <f t="shared" si="4"/>
        <v>0</v>
      </c>
      <c r="K34" s="129">
        <f t="shared" si="5"/>
        <v>0</v>
      </c>
      <c r="L34" s="46"/>
    </row>
    <row r="35" spans="1:12" ht="15.75" customHeight="1" x14ac:dyDescent="0.25">
      <c r="A35" s="47"/>
      <c r="B35" s="48"/>
      <c r="C35" s="49"/>
      <c r="D35" s="52" t="s">
        <v>46</v>
      </c>
      <c r="E35" s="50">
        <v>1372735</v>
      </c>
      <c r="F35" s="51"/>
      <c r="G35" s="33">
        <f t="shared" si="6"/>
        <v>1372735</v>
      </c>
      <c r="H35" s="33">
        <v>1387479</v>
      </c>
      <c r="I35" s="33">
        <v>1387479</v>
      </c>
      <c r="J35" s="122">
        <f t="shared" si="4"/>
        <v>0</v>
      </c>
      <c r="K35" s="129">
        <f t="shared" si="5"/>
        <v>0</v>
      </c>
      <c r="L35" s="46"/>
    </row>
    <row r="36" spans="1:12" ht="15.75" customHeight="1" thickBot="1" x14ac:dyDescent="0.3">
      <c r="A36" s="53"/>
      <c r="B36" s="54"/>
      <c r="C36" s="55"/>
      <c r="D36" s="56" t="s">
        <v>25</v>
      </c>
      <c r="E36" s="57">
        <f>SUM(E22:E35)</f>
        <v>29004262</v>
      </c>
      <c r="F36" s="57"/>
      <c r="G36" s="58">
        <f t="shared" si="6"/>
        <v>29004262</v>
      </c>
      <c r="H36" s="58">
        <f>SUM(H22:H35)</f>
        <v>26154943</v>
      </c>
      <c r="I36" s="58">
        <f>SUM(I22:I35)</f>
        <v>33581957</v>
      </c>
      <c r="J36" s="116">
        <f t="shared" ref="J36" si="7">I36-G36</f>
        <v>4577695</v>
      </c>
      <c r="K36" s="129">
        <f>J36/H36</f>
        <v>0.17502217458474292</v>
      </c>
      <c r="L36" s="12" t="s">
        <v>47</v>
      </c>
    </row>
    <row r="37" spans="1:12" ht="15.75" customHeight="1" thickBot="1" x14ac:dyDescent="0.3">
      <c r="A37" s="59"/>
      <c r="B37" s="60"/>
      <c r="C37" s="60"/>
      <c r="D37" s="61" t="s">
        <v>48</v>
      </c>
      <c r="E37" s="17">
        <f>E7+E14+E20+E36</f>
        <v>90647807</v>
      </c>
      <c r="F37" s="17">
        <f>F7+F14+F20+F36</f>
        <v>0</v>
      </c>
      <c r="G37" s="17">
        <f>G7+G14+G20+G36</f>
        <v>90647807</v>
      </c>
      <c r="H37" s="17">
        <f>SUM(H7+H14+H20+H36)</f>
        <v>104047851</v>
      </c>
      <c r="I37" s="17">
        <f>SUM(I7+I14+I20+I36)</f>
        <v>111474865</v>
      </c>
      <c r="J37" s="117">
        <f>I37-H37</f>
        <v>7427014</v>
      </c>
      <c r="K37" s="129">
        <f>J37/H37</f>
        <v>7.1380753457368384E-2</v>
      </c>
      <c r="L37" s="12" t="s">
        <v>49</v>
      </c>
    </row>
    <row r="38" spans="1:12" ht="15.75" customHeight="1" thickBot="1" x14ac:dyDescent="0.3">
      <c r="A38" s="62"/>
      <c r="B38" s="15"/>
      <c r="C38" s="15" t="s">
        <v>50</v>
      </c>
      <c r="D38" s="16" t="s">
        <v>51</v>
      </c>
      <c r="E38" s="63"/>
      <c r="F38" s="63"/>
      <c r="G38" s="63">
        <v>6128656</v>
      </c>
      <c r="H38" s="232"/>
      <c r="I38" s="64"/>
      <c r="J38" s="118"/>
      <c r="K38" s="134"/>
      <c r="L38" s="12" t="s">
        <v>52</v>
      </c>
    </row>
    <row r="39" spans="1:12" ht="15.75" customHeight="1" thickBot="1" x14ac:dyDescent="0.3">
      <c r="A39" s="256"/>
      <c r="B39" s="257"/>
      <c r="C39" s="257"/>
      <c r="D39" s="65" t="s">
        <v>53</v>
      </c>
      <c r="E39" s="66">
        <f>+E37+E38</f>
        <v>90647807</v>
      </c>
      <c r="F39" s="66">
        <f t="shared" ref="F39:G39" si="8">+F37+F38</f>
        <v>0</v>
      </c>
      <c r="G39" s="66">
        <f t="shared" si="8"/>
        <v>96776463</v>
      </c>
      <c r="H39" s="66">
        <f>H37+H38</f>
        <v>104047851</v>
      </c>
      <c r="I39" s="66">
        <f>I37+I38</f>
        <v>111474865</v>
      </c>
      <c r="J39" s="119">
        <f>I39-G39</f>
        <v>14698402</v>
      </c>
      <c r="K39" s="130">
        <f>J39/G39</f>
        <v>0.15187992559719815</v>
      </c>
      <c r="L39" s="12" t="s">
        <v>54</v>
      </c>
    </row>
    <row r="40" spans="1:12" ht="15.75" customHeight="1" x14ac:dyDescent="0.25">
      <c r="A40" s="20"/>
      <c r="B40" s="67" t="s">
        <v>55</v>
      </c>
      <c r="C40" s="254" t="s">
        <v>56</v>
      </c>
      <c r="D40" s="254"/>
      <c r="E40" s="254"/>
      <c r="F40" s="254"/>
      <c r="G40" s="255"/>
      <c r="H40" s="222"/>
      <c r="I40" s="269"/>
      <c r="J40" s="270"/>
      <c r="K40" s="135"/>
      <c r="L40" s="12"/>
    </row>
    <row r="41" spans="1:12" ht="15.75" customHeight="1" x14ac:dyDescent="0.25">
      <c r="A41" s="68"/>
      <c r="B41" s="69"/>
      <c r="C41" s="69" t="s">
        <v>9</v>
      </c>
      <c r="D41" s="69" t="s">
        <v>57</v>
      </c>
      <c r="E41" s="70">
        <v>1400000</v>
      </c>
      <c r="F41" s="70"/>
      <c r="G41" s="27">
        <f t="shared" ref="G41:G49" si="9">SUM(E41:F41)</f>
        <v>1400000</v>
      </c>
      <c r="H41" s="27">
        <v>800982</v>
      </c>
      <c r="I41" s="27">
        <v>800982</v>
      </c>
      <c r="J41" s="112">
        <f>I41-H41</f>
        <v>0</v>
      </c>
      <c r="K41" s="129">
        <f>J41/H41</f>
        <v>0</v>
      </c>
      <c r="L41" s="12"/>
    </row>
    <row r="42" spans="1:12" ht="15.75" customHeight="1" x14ac:dyDescent="0.25">
      <c r="A42" s="68"/>
      <c r="B42" s="69"/>
      <c r="C42" s="69" t="s">
        <v>11</v>
      </c>
      <c r="D42" s="69" t="s">
        <v>58</v>
      </c>
      <c r="E42" s="70">
        <v>300000</v>
      </c>
      <c r="F42" s="70"/>
      <c r="G42" s="27">
        <f t="shared" si="9"/>
        <v>300000</v>
      </c>
      <c r="H42" s="27">
        <v>0</v>
      </c>
      <c r="I42" s="27">
        <v>0</v>
      </c>
      <c r="J42" s="112">
        <f t="shared" ref="J42:J44" si="10">I42-H42</f>
        <v>0</v>
      </c>
      <c r="K42" s="129"/>
      <c r="L42" s="12"/>
    </row>
    <row r="43" spans="1:12" ht="15.75" customHeight="1" x14ac:dyDescent="0.25">
      <c r="A43" s="68"/>
      <c r="B43" s="69"/>
      <c r="C43" s="69" t="s">
        <v>27</v>
      </c>
      <c r="D43" s="69" t="s">
        <v>59</v>
      </c>
      <c r="E43" s="70">
        <v>250000</v>
      </c>
      <c r="F43" s="70"/>
      <c r="G43" s="27">
        <f t="shared" si="9"/>
        <v>250000</v>
      </c>
      <c r="H43" s="27">
        <v>114079</v>
      </c>
      <c r="I43" s="27">
        <v>114079</v>
      </c>
      <c r="J43" s="112">
        <f t="shared" si="10"/>
        <v>0</v>
      </c>
      <c r="K43" s="129">
        <f t="shared" ref="K43:K44" si="11">J43/H43</f>
        <v>0</v>
      </c>
      <c r="L43" s="12"/>
    </row>
    <row r="44" spans="1:12" ht="15.75" customHeight="1" x14ac:dyDescent="0.25">
      <c r="A44" s="68"/>
      <c r="B44" s="69"/>
      <c r="C44" s="69" t="s">
        <v>31</v>
      </c>
      <c r="D44" s="69" t="s">
        <v>60</v>
      </c>
      <c r="E44" s="70">
        <v>50000</v>
      </c>
      <c r="F44" s="70"/>
      <c r="G44" s="27">
        <f t="shared" si="9"/>
        <v>50000</v>
      </c>
      <c r="H44" s="27">
        <v>134500</v>
      </c>
      <c r="I44" s="27">
        <v>134500</v>
      </c>
      <c r="J44" s="112">
        <f t="shared" si="10"/>
        <v>0</v>
      </c>
      <c r="K44" s="129">
        <f t="shared" si="11"/>
        <v>0</v>
      </c>
      <c r="L44" s="12"/>
    </row>
    <row r="45" spans="1:12" ht="15.75" customHeight="1" x14ac:dyDescent="0.25">
      <c r="A45" s="68"/>
      <c r="B45" s="69"/>
      <c r="C45" s="69" t="s">
        <v>50</v>
      </c>
      <c r="D45" s="69" t="s">
        <v>61</v>
      </c>
      <c r="E45" s="70"/>
      <c r="F45" s="70"/>
      <c r="G45" s="27">
        <f t="shared" si="9"/>
        <v>0</v>
      </c>
      <c r="H45" s="27"/>
      <c r="I45" s="27"/>
      <c r="J45" s="112"/>
      <c r="K45" s="129"/>
      <c r="L45" s="12"/>
    </row>
    <row r="46" spans="1:12" ht="15.75" customHeight="1" x14ac:dyDescent="0.25">
      <c r="A46" s="68"/>
      <c r="B46" s="69"/>
      <c r="C46" s="69" t="s">
        <v>62</v>
      </c>
      <c r="D46" s="69" t="s">
        <v>63</v>
      </c>
      <c r="E46" s="70"/>
      <c r="F46" s="70"/>
      <c r="G46" s="27">
        <f t="shared" si="9"/>
        <v>0</v>
      </c>
      <c r="H46" s="27"/>
      <c r="I46" s="27"/>
      <c r="J46" s="112"/>
      <c r="K46" s="129"/>
      <c r="L46" s="12"/>
    </row>
    <row r="47" spans="1:12" ht="15.75" customHeight="1" x14ac:dyDescent="0.25">
      <c r="A47" s="71"/>
      <c r="B47" s="72"/>
      <c r="C47" s="72" t="s">
        <v>64</v>
      </c>
      <c r="D47" s="72" t="s">
        <v>65</v>
      </c>
      <c r="E47" s="70"/>
      <c r="F47" s="70"/>
      <c r="G47" s="27">
        <f t="shared" si="9"/>
        <v>0</v>
      </c>
      <c r="H47" s="27"/>
      <c r="I47" s="27"/>
      <c r="J47" s="112"/>
      <c r="K47" s="129"/>
      <c r="L47" s="46"/>
    </row>
    <row r="48" spans="1:12" ht="15.75" customHeight="1" thickBot="1" x14ac:dyDescent="0.3">
      <c r="A48" s="279"/>
      <c r="B48" s="280"/>
      <c r="C48" s="280"/>
      <c r="D48" s="54" t="s">
        <v>25</v>
      </c>
      <c r="E48" s="57">
        <f>SUM(E41:E47)</f>
        <v>2000000</v>
      </c>
      <c r="F48" s="57"/>
      <c r="G48" s="73">
        <f t="shared" si="9"/>
        <v>2000000</v>
      </c>
      <c r="H48" s="73">
        <f>SUM(H41:H47)</f>
        <v>1049561</v>
      </c>
      <c r="I48" s="73">
        <f>SUM(I41:I47)</f>
        <v>1049561</v>
      </c>
      <c r="J48" s="113">
        <f>I48-H48</f>
        <v>0</v>
      </c>
      <c r="K48" s="133">
        <f>J48/H48</f>
        <v>0</v>
      </c>
      <c r="L48" s="12" t="s">
        <v>66</v>
      </c>
    </row>
    <row r="49" spans="1:12" ht="15.75" customHeight="1" thickBot="1" x14ac:dyDescent="0.3">
      <c r="A49" s="74"/>
      <c r="B49" s="75" t="s">
        <v>67</v>
      </c>
      <c r="C49" s="76" t="s">
        <v>68</v>
      </c>
      <c r="D49" s="77"/>
      <c r="E49" s="78"/>
      <c r="F49" s="78"/>
      <c r="G49" s="79">
        <f t="shared" si="9"/>
        <v>0</v>
      </c>
      <c r="H49" s="79"/>
      <c r="I49" s="79"/>
      <c r="J49" s="114"/>
      <c r="K49" s="129"/>
      <c r="L49" s="19" t="s">
        <v>69</v>
      </c>
    </row>
    <row r="50" spans="1:12" ht="15.75" customHeight="1" thickBot="1" x14ac:dyDescent="0.3">
      <c r="A50" s="281"/>
      <c r="B50" s="282"/>
      <c r="C50" s="80"/>
      <c r="D50" s="81" t="s">
        <v>70</v>
      </c>
      <c r="E50" s="82">
        <f>+E39+E48+E49</f>
        <v>92647807</v>
      </c>
      <c r="F50" s="82">
        <f>+F39+F48+F49</f>
        <v>0</v>
      </c>
      <c r="G50" s="82">
        <f>+G39+G48+G49</f>
        <v>98776463</v>
      </c>
      <c r="H50" s="82">
        <f>SUM(H39+H48+H49)</f>
        <v>105097412</v>
      </c>
      <c r="I50" s="82">
        <f>SUM(I39+I48+I49)</f>
        <v>112524426</v>
      </c>
      <c r="J50" s="115">
        <f>I50-H50</f>
        <v>7427014</v>
      </c>
      <c r="K50" s="136">
        <f>J50/H50</f>
        <v>7.0667905694956595E-2</v>
      </c>
      <c r="L50" s="12" t="s">
        <v>71</v>
      </c>
    </row>
    <row r="51" spans="1:12" ht="15.75" customHeight="1" x14ac:dyDescent="0.25">
      <c r="A51" s="83" t="s">
        <v>72</v>
      </c>
      <c r="B51" s="258" t="s">
        <v>73</v>
      </c>
      <c r="C51" s="258"/>
      <c r="D51" s="258"/>
      <c r="E51" s="258"/>
      <c r="F51" s="258"/>
      <c r="G51" s="259"/>
      <c r="H51" s="231"/>
      <c r="I51" s="107"/>
      <c r="J51" s="107"/>
      <c r="K51" s="128"/>
      <c r="L51" s="12"/>
    </row>
    <row r="52" spans="1:12" ht="15.75" customHeight="1" x14ac:dyDescent="0.25">
      <c r="A52" s="68"/>
      <c r="B52" s="84" t="s">
        <v>7</v>
      </c>
      <c r="C52" s="69" t="s">
        <v>74</v>
      </c>
      <c r="D52" s="69"/>
      <c r="E52" s="70">
        <f>96532907-81675407</f>
        <v>14857500</v>
      </c>
      <c r="F52" s="70"/>
      <c r="G52" s="27">
        <f t="shared" ref="G52:G57" si="12">SUM(E52:F52)</f>
        <v>14857500</v>
      </c>
      <c r="H52" s="27">
        <f>105097413-H53-H54-H60</f>
        <v>14422006</v>
      </c>
      <c r="I52" s="27"/>
      <c r="J52" s="112">
        <f t="shared" ref="J52:J60" si="13">I52-H52</f>
        <v>-14422006</v>
      </c>
      <c r="K52" s="129"/>
      <c r="L52" s="12" t="s">
        <v>176</v>
      </c>
    </row>
    <row r="53" spans="1:12" ht="24" x14ac:dyDescent="0.25">
      <c r="A53" s="68"/>
      <c r="B53" s="84" t="s">
        <v>55</v>
      </c>
      <c r="C53" s="85" t="s">
        <v>75</v>
      </c>
      <c r="D53" s="86"/>
      <c r="E53" s="34">
        <v>7500000</v>
      </c>
      <c r="F53" s="34"/>
      <c r="G53" s="27">
        <f t="shared" si="12"/>
        <v>7500000</v>
      </c>
      <c r="H53" s="27">
        <v>16500000</v>
      </c>
      <c r="I53" s="27">
        <v>5000000</v>
      </c>
      <c r="J53" s="112">
        <f t="shared" si="13"/>
        <v>-11500000</v>
      </c>
      <c r="K53" s="129"/>
      <c r="L53" s="12" t="s">
        <v>178</v>
      </c>
    </row>
    <row r="54" spans="1:12" ht="24" x14ac:dyDescent="0.25">
      <c r="A54" s="68"/>
      <c r="B54" s="84" t="s">
        <v>67</v>
      </c>
      <c r="C54" s="69" t="s">
        <v>76</v>
      </c>
      <c r="D54" s="69"/>
      <c r="E54" s="70">
        <v>66675407</v>
      </c>
      <c r="F54" s="70"/>
      <c r="G54" s="27">
        <f t="shared" si="12"/>
        <v>66675407</v>
      </c>
      <c r="H54" s="27">
        <f>+G54</f>
        <v>66675407</v>
      </c>
      <c r="I54" s="27">
        <f>69060127.72+940000</f>
        <v>70000127.719999999</v>
      </c>
      <c r="J54" s="112">
        <f t="shared" si="13"/>
        <v>3324720.7199999988</v>
      </c>
      <c r="K54" s="129"/>
      <c r="L54" s="12" t="s">
        <v>179</v>
      </c>
    </row>
    <row r="55" spans="1:12" ht="15.75" customHeight="1" x14ac:dyDescent="0.25">
      <c r="A55" s="68"/>
      <c r="B55" s="84" t="s">
        <v>77</v>
      </c>
      <c r="C55" s="69" t="s">
        <v>78</v>
      </c>
      <c r="D55" s="69"/>
      <c r="E55" s="70"/>
      <c r="F55" s="70"/>
      <c r="G55" s="27">
        <f t="shared" si="12"/>
        <v>0</v>
      </c>
      <c r="H55" s="27"/>
      <c r="I55" s="27">
        <v>2524298</v>
      </c>
      <c r="J55" s="112">
        <f t="shared" si="13"/>
        <v>2524298</v>
      </c>
      <c r="K55" s="129"/>
      <c r="L55" s="12" t="s">
        <v>171</v>
      </c>
    </row>
    <row r="56" spans="1:12" ht="15.75" customHeight="1" x14ac:dyDescent="0.25">
      <c r="A56" s="68"/>
      <c r="B56" s="84" t="s">
        <v>79</v>
      </c>
      <c r="C56" s="69" t="s">
        <v>80</v>
      </c>
      <c r="D56" s="69"/>
      <c r="E56" s="70"/>
      <c r="F56" s="70"/>
      <c r="G56" s="27">
        <f t="shared" si="12"/>
        <v>0</v>
      </c>
      <c r="H56" s="27"/>
      <c r="I56" s="27"/>
      <c r="J56" s="112">
        <f t="shared" si="13"/>
        <v>0</v>
      </c>
      <c r="K56" s="129"/>
      <c r="L56" s="12"/>
    </row>
    <row r="57" spans="1:12" ht="24" x14ac:dyDescent="0.25">
      <c r="A57" s="68"/>
      <c r="B57" s="84" t="s">
        <v>81</v>
      </c>
      <c r="C57" s="69" t="s">
        <v>82</v>
      </c>
      <c r="D57" s="69"/>
      <c r="E57" s="70"/>
      <c r="F57" s="70"/>
      <c r="G57" s="27">
        <f t="shared" si="12"/>
        <v>0</v>
      </c>
      <c r="H57" s="27"/>
      <c r="I57" s="27">
        <f>30000000-5000000</f>
        <v>25000000</v>
      </c>
      <c r="J57" s="112">
        <f t="shared" si="13"/>
        <v>25000000</v>
      </c>
      <c r="K57" s="129"/>
      <c r="L57" s="12" t="s">
        <v>173</v>
      </c>
    </row>
    <row r="58" spans="1:12" ht="15.75" customHeight="1" x14ac:dyDescent="0.25">
      <c r="A58" s="68"/>
      <c r="B58" s="84" t="s">
        <v>83</v>
      </c>
      <c r="C58" s="87" t="s">
        <v>84</v>
      </c>
      <c r="D58" s="29"/>
      <c r="E58" s="29"/>
      <c r="F58" s="29"/>
      <c r="G58" s="88"/>
      <c r="H58" s="27"/>
      <c r="I58" s="27"/>
      <c r="J58" s="112">
        <f t="shared" si="13"/>
        <v>0</v>
      </c>
      <c r="K58" s="129"/>
      <c r="L58" s="12"/>
    </row>
    <row r="59" spans="1:12" ht="15.75" customHeight="1" x14ac:dyDescent="0.25">
      <c r="A59" s="68"/>
      <c r="B59" s="69"/>
      <c r="C59" s="69" t="s">
        <v>9</v>
      </c>
      <c r="D59" s="69" t="s">
        <v>85</v>
      </c>
      <c r="E59" s="70"/>
      <c r="F59" s="70"/>
      <c r="G59" s="27">
        <f>SUM(E59:F59)</f>
        <v>0</v>
      </c>
      <c r="H59" s="27"/>
      <c r="I59" s="27"/>
      <c r="J59" s="112">
        <f t="shared" si="13"/>
        <v>0</v>
      </c>
      <c r="K59" s="129"/>
      <c r="L59" s="12"/>
    </row>
    <row r="60" spans="1:12" ht="24" x14ac:dyDescent="0.25">
      <c r="A60" s="68"/>
      <c r="B60" s="69"/>
      <c r="C60" s="69" t="s">
        <v>11</v>
      </c>
      <c r="D60" s="69" t="s">
        <v>86</v>
      </c>
      <c r="E60" s="70">
        <v>7500000</v>
      </c>
      <c r="F60" s="70"/>
      <c r="G60" s="27">
        <f>SUM(E60:F60)</f>
        <v>7500000</v>
      </c>
      <c r="H60" s="27">
        <f>+G60</f>
        <v>7500000</v>
      </c>
      <c r="I60" s="27">
        <v>10000000</v>
      </c>
      <c r="J60" s="112">
        <f t="shared" si="13"/>
        <v>2500000</v>
      </c>
      <c r="K60" s="129"/>
      <c r="L60" s="12" t="s">
        <v>177</v>
      </c>
    </row>
    <row r="61" spans="1:12" ht="15.75" customHeight="1" x14ac:dyDescent="0.25">
      <c r="A61" s="68"/>
      <c r="B61" s="69"/>
      <c r="C61" s="69" t="s">
        <v>27</v>
      </c>
      <c r="D61" s="69" t="s">
        <v>87</v>
      </c>
      <c r="E61" s="70"/>
      <c r="F61" s="70"/>
      <c r="G61" s="27">
        <f>SUM(E61:F61)</f>
        <v>0</v>
      </c>
      <c r="H61" s="27"/>
      <c r="I61" s="27"/>
      <c r="J61" s="27"/>
      <c r="K61" s="129"/>
      <c r="L61" s="12"/>
    </row>
    <row r="62" spans="1:12" ht="15.75" customHeight="1" x14ac:dyDescent="0.25">
      <c r="A62" s="89"/>
      <c r="B62" s="90" t="s">
        <v>88</v>
      </c>
      <c r="C62" s="72" t="s">
        <v>65</v>
      </c>
      <c r="D62" s="72"/>
      <c r="E62" s="27"/>
      <c r="F62" s="27"/>
      <c r="G62" s="27">
        <f>SUM(E62:F62)</f>
        <v>0</v>
      </c>
      <c r="H62" s="27"/>
      <c r="I62" s="27"/>
      <c r="J62" s="27"/>
      <c r="K62" s="129"/>
      <c r="L62" s="46" t="s">
        <v>89</v>
      </c>
    </row>
    <row r="63" spans="1:12" ht="15.75" customHeight="1" thickBot="1" x14ac:dyDescent="0.3">
      <c r="A63" s="283"/>
      <c r="B63" s="284"/>
      <c r="C63" s="91"/>
      <c r="D63" s="54" t="s">
        <v>90</v>
      </c>
      <c r="E63" s="57">
        <f>SUM(E52:E62)</f>
        <v>96532907</v>
      </c>
      <c r="F63" s="57"/>
      <c r="G63" s="73">
        <f>SUM(E63:F63)</f>
        <v>96532907</v>
      </c>
      <c r="H63" s="73">
        <f>SUM(H52:H62)</f>
        <v>105097413</v>
      </c>
      <c r="I63" s="73">
        <f>SUM(I52:I62)</f>
        <v>112524425.72</v>
      </c>
      <c r="J63" s="73"/>
      <c r="K63" s="133"/>
      <c r="L63" s="92" t="s">
        <v>91</v>
      </c>
    </row>
    <row r="64" spans="1:12" ht="15.75" customHeight="1" x14ac:dyDescent="0.25">
      <c r="A64" s="285" t="s">
        <v>92</v>
      </c>
      <c r="B64" s="252"/>
      <c r="C64" s="252"/>
      <c r="D64" s="252"/>
      <c r="E64" s="252"/>
      <c r="F64" s="252"/>
      <c r="G64" s="253"/>
      <c r="H64" s="230"/>
      <c r="I64" s="107"/>
      <c r="J64" s="107"/>
      <c r="K64" s="128"/>
      <c r="L64" s="92"/>
    </row>
    <row r="65" spans="1:12" ht="15.75" customHeight="1" x14ac:dyDescent="0.25">
      <c r="A65" s="68"/>
      <c r="B65" s="84" t="s">
        <v>7</v>
      </c>
      <c r="C65" s="286" t="s">
        <v>93</v>
      </c>
      <c r="D65" s="287"/>
      <c r="E65" s="70"/>
      <c r="F65" s="70"/>
      <c r="G65" s="27">
        <f>SUM(E65:F65)</f>
        <v>0</v>
      </c>
      <c r="H65" s="27"/>
      <c r="I65" s="27"/>
      <c r="J65" s="27"/>
      <c r="K65" s="129"/>
      <c r="L65" s="92"/>
    </row>
    <row r="66" spans="1:12" ht="15.75" customHeight="1" x14ac:dyDescent="0.25">
      <c r="A66" s="68"/>
      <c r="B66" s="84" t="s">
        <v>55</v>
      </c>
      <c r="C66" s="286" t="s">
        <v>14</v>
      </c>
      <c r="D66" s="287"/>
      <c r="E66" s="70"/>
      <c r="F66" s="70"/>
      <c r="G66" s="27">
        <f>SUM(E66:F66)</f>
        <v>0</v>
      </c>
      <c r="H66" s="27"/>
      <c r="I66" s="27"/>
      <c r="J66" s="27"/>
      <c r="K66" s="129"/>
      <c r="L66" s="92"/>
    </row>
    <row r="67" spans="1:12" ht="15.75" customHeight="1" x14ac:dyDescent="0.25">
      <c r="A67" s="68"/>
      <c r="B67" s="84" t="s">
        <v>67</v>
      </c>
      <c r="C67" s="286" t="s">
        <v>94</v>
      </c>
      <c r="D67" s="287"/>
      <c r="E67" s="70"/>
      <c r="F67" s="70"/>
      <c r="G67" s="27">
        <f>SUM(E67:F67)</f>
        <v>0</v>
      </c>
      <c r="H67" s="27"/>
      <c r="I67" s="27"/>
      <c r="J67" s="27"/>
      <c r="K67" s="129"/>
      <c r="L67" s="92"/>
    </row>
    <row r="68" spans="1:12" ht="15.75" customHeight="1" x14ac:dyDescent="0.25">
      <c r="A68" s="68"/>
      <c r="B68" s="84" t="s">
        <v>77</v>
      </c>
      <c r="C68" s="286" t="s">
        <v>95</v>
      </c>
      <c r="D68" s="287"/>
      <c r="E68" s="70"/>
      <c r="F68" s="70"/>
      <c r="G68" s="27">
        <f>SUM(E68:F68)</f>
        <v>0</v>
      </c>
      <c r="H68" s="27"/>
      <c r="I68" s="27"/>
      <c r="J68" s="27"/>
      <c r="K68" s="129"/>
      <c r="L68" s="92"/>
    </row>
    <row r="69" spans="1:12" ht="15.75" customHeight="1" x14ac:dyDescent="0.25">
      <c r="A69" s="93"/>
      <c r="B69" s="94" t="s">
        <v>79</v>
      </c>
      <c r="C69" s="271" t="s">
        <v>65</v>
      </c>
      <c r="D69" s="272"/>
      <c r="E69" s="95"/>
      <c r="F69" s="95"/>
      <c r="G69" s="27">
        <f>SUM(E69:F69)</f>
        <v>0</v>
      </c>
      <c r="H69" s="27"/>
      <c r="I69" s="27"/>
      <c r="J69" s="27"/>
      <c r="K69" s="129"/>
      <c r="L69" s="46"/>
    </row>
    <row r="70" spans="1:12" ht="15.75" customHeight="1" thickBot="1" x14ac:dyDescent="0.3">
      <c r="A70" s="96"/>
      <c r="B70" s="97"/>
      <c r="C70" s="98"/>
      <c r="D70" s="99"/>
      <c r="E70" s="100"/>
      <c r="F70" s="101"/>
      <c r="G70" s="102"/>
      <c r="H70" s="101"/>
      <c r="I70" s="101"/>
      <c r="J70" s="101"/>
      <c r="K70" s="101"/>
      <c r="L70" s="46"/>
    </row>
    <row r="71" spans="1:12" ht="35.1" customHeight="1" x14ac:dyDescent="0.25">
      <c r="A71" s="273" t="s">
        <v>96</v>
      </c>
      <c r="B71" s="274"/>
      <c r="C71" s="274"/>
      <c r="D71" s="274"/>
      <c r="E71" s="274"/>
      <c r="F71" s="274"/>
      <c r="G71" s="275"/>
      <c r="H71" s="223"/>
      <c r="I71" s="108"/>
      <c r="J71" s="108"/>
      <c r="K71" s="124"/>
      <c r="L71" s="92"/>
    </row>
    <row r="72" spans="1:12" ht="15.75" customHeight="1" thickBot="1" x14ac:dyDescent="0.3">
      <c r="A72" s="276"/>
      <c r="B72" s="277"/>
      <c r="C72" s="277"/>
      <c r="D72" s="277"/>
      <c r="E72" s="277"/>
      <c r="F72" s="277"/>
      <c r="G72" s="278"/>
      <c r="H72" s="233"/>
      <c r="I72" s="108"/>
      <c r="J72" s="108"/>
      <c r="K72" s="124"/>
      <c r="L72" s="92"/>
    </row>
    <row r="73" spans="1:12" ht="15.75" customHeight="1" x14ac:dyDescent="0.25">
      <c r="E73" s="103"/>
      <c r="F73" s="103"/>
      <c r="G73" s="103"/>
      <c r="H73" s="103"/>
      <c r="I73" s="103"/>
      <c r="J73" s="103"/>
      <c r="K73" s="103"/>
      <c r="L73" s="104"/>
    </row>
    <row r="74" spans="1:12" ht="15.75" customHeight="1" x14ac:dyDescent="0.25">
      <c r="I74" s="137"/>
    </row>
    <row r="75" spans="1:12" ht="15.75" customHeight="1" x14ac:dyDescent="0.25">
      <c r="I75" s="103"/>
    </row>
    <row r="76" spans="1:12" ht="15.75" customHeight="1" x14ac:dyDescent="0.25">
      <c r="I76" s="103"/>
    </row>
  </sheetData>
  <mergeCells count="26">
    <mergeCell ref="I5:J5"/>
    <mergeCell ref="I40:J40"/>
    <mergeCell ref="C69:D69"/>
    <mergeCell ref="A71:G71"/>
    <mergeCell ref="A72:G72"/>
    <mergeCell ref="A48:C48"/>
    <mergeCell ref="A50:B50"/>
    <mergeCell ref="B51:G51"/>
    <mergeCell ref="A63:B63"/>
    <mergeCell ref="A64:G64"/>
    <mergeCell ref="C65:D65"/>
    <mergeCell ref="C68:D68"/>
    <mergeCell ref="C67:D67"/>
    <mergeCell ref="C66:D66"/>
    <mergeCell ref="A14:C14"/>
    <mergeCell ref="D8:G8"/>
    <mergeCell ref="A1:E1"/>
    <mergeCell ref="A2:G2"/>
    <mergeCell ref="A3:G3"/>
    <mergeCell ref="B5:G5"/>
    <mergeCell ref="C6:G6"/>
    <mergeCell ref="A20:C20"/>
    <mergeCell ref="D15:G15"/>
    <mergeCell ref="C40:G40"/>
    <mergeCell ref="A39:C39"/>
    <mergeCell ref="D21:G21"/>
  </mergeCells>
  <pageMargins left="0.7" right="0.7" top="0.75" bottom="0.75" header="0.3" footer="0.3"/>
  <pageSetup scale="64" fitToHeight="0" orientation="landscape" r:id="rId1"/>
  <headerFooter>
    <oddFooter>&amp;CTABLE E. PROJECT BUDGET</oddFooter>
  </headerFooter>
  <ignoredErrors>
    <ignoredError sqref="I54 I57 J7:J11 J13:J14 J22:J3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N56"/>
  <sheetViews>
    <sheetView zoomScale="115" zoomScaleNormal="115" workbookViewId="0">
      <pane ySplit="4" topLeftCell="A5" activePane="bottomLeft" state="frozen"/>
      <selection activeCell="G23" sqref="G23"/>
      <selection pane="bottomLeft" sqref="A1:K1"/>
    </sheetView>
  </sheetViews>
  <sheetFormatPr defaultColWidth="10.7109375" defaultRowHeight="12" x14ac:dyDescent="0.2"/>
  <cols>
    <col min="1" max="1" width="33.7109375" style="180" customWidth="1"/>
    <col min="2" max="3" width="12.28515625" style="181" customWidth="1"/>
    <col min="4" max="4" width="13.28515625" style="181" bestFit="1" customWidth="1"/>
    <col min="5" max="12" width="12.28515625" style="181" customWidth="1"/>
    <col min="13" max="13" width="13.28515625" style="181" bestFit="1" customWidth="1"/>
    <col min="14" max="14" width="29.5703125" style="138" bestFit="1" customWidth="1"/>
    <col min="15" max="18" width="10.7109375" style="181"/>
    <col min="19" max="19" width="10.7109375" style="181" customWidth="1"/>
    <col min="20" max="16384" width="10.7109375" style="181"/>
  </cols>
  <sheetData>
    <row r="1" spans="1:14" s="139" customFormat="1" ht="12.75" x14ac:dyDescent="0.2">
      <c r="A1" s="295" t="s">
        <v>191</v>
      </c>
      <c r="B1" s="295"/>
      <c r="C1" s="295"/>
      <c r="D1" s="295"/>
      <c r="E1" s="295"/>
      <c r="F1" s="295"/>
      <c r="G1" s="295"/>
      <c r="H1" s="295"/>
      <c r="I1" s="295"/>
      <c r="J1" s="295"/>
      <c r="K1" s="295"/>
      <c r="L1" s="224"/>
      <c r="M1" s="192"/>
      <c r="N1" s="138"/>
    </row>
    <row r="2" spans="1:14" s="139" customFormat="1" ht="53.25" customHeight="1" thickBot="1" x14ac:dyDescent="0.25">
      <c r="A2" s="296" t="s">
        <v>100</v>
      </c>
      <c r="B2" s="297"/>
      <c r="C2" s="297"/>
      <c r="D2" s="297"/>
      <c r="E2" s="297"/>
      <c r="F2" s="297"/>
      <c r="G2" s="297"/>
      <c r="H2" s="297"/>
      <c r="I2" s="297"/>
      <c r="J2" s="297"/>
      <c r="K2" s="297"/>
      <c r="L2" s="225"/>
      <c r="M2" s="193"/>
      <c r="N2" s="138"/>
    </row>
    <row r="3" spans="1:14" s="143" customFormat="1" ht="25.5" customHeight="1" x14ac:dyDescent="0.2">
      <c r="A3" s="140"/>
      <c r="B3" s="298" t="s">
        <v>101</v>
      </c>
      <c r="C3" s="298"/>
      <c r="D3" s="141" t="s">
        <v>102</v>
      </c>
      <c r="E3" s="299" t="s">
        <v>181</v>
      </c>
      <c r="F3" s="300"/>
      <c r="G3" s="300"/>
      <c r="H3" s="300"/>
      <c r="I3" s="300"/>
      <c r="J3" s="300"/>
      <c r="K3" s="300"/>
      <c r="L3" s="205" t="s">
        <v>180</v>
      </c>
      <c r="M3" s="205" t="s">
        <v>170</v>
      </c>
      <c r="N3" s="142" t="s">
        <v>104</v>
      </c>
    </row>
    <row r="4" spans="1:14" s="143" customFormat="1" ht="13.5" thickBot="1" x14ac:dyDescent="0.25">
      <c r="A4" s="144" t="s">
        <v>105</v>
      </c>
      <c r="B4" s="145" t="s">
        <v>106</v>
      </c>
      <c r="C4" s="145" t="s">
        <v>107</v>
      </c>
      <c r="D4" s="145" t="s">
        <v>108</v>
      </c>
      <c r="E4" s="145" t="s">
        <v>109</v>
      </c>
      <c r="F4" s="145" t="s">
        <v>110</v>
      </c>
      <c r="G4" s="145" t="s">
        <v>111</v>
      </c>
      <c r="H4" s="145" t="s">
        <v>112</v>
      </c>
      <c r="I4" s="145" t="s">
        <v>113</v>
      </c>
      <c r="J4" s="145" t="s">
        <v>114</v>
      </c>
      <c r="K4" s="195" t="s">
        <v>115</v>
      </c>
      <c r="L4" s="206" t="s">
        <v>115</v>
      </c>
      <c r="M4" s="206" t="s">
        <v>115</v>
      </c>
      <c r="N4" s="146" t="s">
        <v>105</v>
      </c>
    </row>
    <row r="5" spans="1:14" s="139" customFormat="1" ht="12.75" x14ac:dyDescent="0.2">
      <c r="A5" s="301" t="s">
        <v>116</v>
      </c>
      <c r="B5" s="302"/>
      <c r="C5" s="302"/>
      <c r="D5" s="302"/>
      <c r="E5" s="302"/>
      <c r="F5" s="302"/>
      <c r="G5" s="302"/>
      <c r="H5" s="302"/>
      <c r="I5" s="302"/>
      <c r="J5" s="302"/>
      <c r="K5" s="302"/>
      <c r="L5" s="207"/>
      <c r="M5" s="207"/>
      <c r="N5" s="138"/>
    </row>
    <row r="6" spans="1:14" s="149" customFormat="1" ht="36" x14ac:dyDescent="0.2">
      <c r="A6" s="147" t="s">
        <v>117</v>
      </c>
      <c r="B6" s="148">
        <v>23937093</v>
      </c>
      <c r="C6" s="148">
        <v>24573143</v>
      </c>
      <c r="D6" s="148">
        <v>24345936</v>
      </c>
      <c r="E6" s="148">
        <v>24345936</v>
      </c>
      <c r="F6" s="148">
        <v>24345936</v>
      </c>
      <c r="G6" s="148">
        <v>24345936</v>
      </c>
      <c r="H6" s="148">
        <v>26406740</v>
      </c>
      <c r="I6" s="148">
        <v>31021975</v>
      </c>
      <c r="J6" s="148">
        <v>32549458</v>
      </c>
      <c r="K6" s="196">
        <v>32549458</v>
      </c>
      <c r="L6" s="208">
        <v>32549458</v>
      </c>
      <c r="M6" s="208">
        <v>36700323.808190003</v>
      </c>
      <c r="N6" s="138" t="s">
        <v>183</v>
      </c>
    </row>
    <row r="7" spans="1:14" s="149" customFormat="1" ht="12.75" x14ac:dyDescent="0.2">
      <c r="A7" s="147" t="s">
        <v>118</v>
      </c>
      <c r="B7" s="148">
        <v>4201671</v>
      </c>
      <c r="C7" s="148">
        <v>4146485</v>
      </c>
      <c r="D7" s="148">
        <v>4310349</v>
      </c>
      <c r="E7" s="148">
        <v>4310349</v>
      </c>
      <c r="F7" s="148">
        <v>4310349</v>
      </c>
      <c r="G7" s="148">
        <v>4310349</v>
      </c>
      <c r="H7" s="148">
        <v>9574832</v>
      </c>
      <c r="I7" s="148">
        <v>14202372</v>
      </c>
      <c r="J7" s="148">
        <v>14357072</v>
      </c>
      <c r="K7" s="196">
        <v>14372256</v>
      </c>
      <c r="L7" s="238">
        <v>14372256</v>
      </c>
      <c r="M7" s="238">
        <v>15728710.203510001</v>
      </c>
      <c r="N7" s="138"/>
    </row>
    <row r="8" spans="1:14" s="149" customFormat="1" ht="24" x14ac:dyDescent="0.2">
      <c r="A8" s="150" t="s">
        <v>119</v>
      </c>
      <c r="B8" s="148"/>
      <c r="C8" s="148"/>
      <c r="D8" s="148"/>
      <c r="E8" s="148"/>
      <c r="F8" s="148"/>
      <c r="G8" s="148"/>
      <c r="H8" s="148">
        <v>296275</v>
      </c>
      <c r="I8" s="148">
        <v>600511</v>
      </c>
      <c r="J8" s="148">
        <v>616198</v>
      </c>
      <c r="K8" s="196">
        <v>616338</v>
      </c>
      <c r="L8" s="208">
        <v>616338</v>
      </c>
      <c r="M8" s="208">
        <v>3000000</v>
      </c>
      <c r="N8" s="138" t="s">
        <v>188</v>
      </c>
    </row>
    <row r="9" spans="1:14" s="153" customFormat="1" ht="24" x14ac:dyDescent="0.25">
      <c r="A9" s="151" t="s">
        <v>120</v>
      </c>
      <c r="B9" s="152">
        <f>SUM(B6:B7)</f>
        <v>28138764</v>
      </c>
      <c r="C9" s="152">
        <f t="shared" ref="C9:G9" si="0">SUM(C6:C7)</f>
        <v>28719628</v>
      </c>
      <c r="D9" s="152">
        <f t="shared" si="0"/>
        <v>28656285</v>
      </c>
      <c r="E9" s="152">
        <f t="shared" si="0"/>
        <v>28656285</v>
      </c>
      <c r="F9" s="152">
        <f t="shared" si="0"/>
        <v>28656285</v>
      </c>
      <c r="G9" s="152">
        <f t="shared" si="0"/>
        <v>28656285</v>
      </c>
      <c r="H9" s="152">
        <f>SUM(H6:H8)</f>
        <v>36277847</v>
      </c>
      <c r="I9" s="152">
        <f t="shared" ref="I9:K9" si="1">SUM(I6:I8)</f>
        <v>45824858</v>
      </c>
      <c r="J9" s="152">
        <f t="shared" si="1"/>
        <v>47522728</v>
      </c>
      <c r="K9" s="197">
        <f t="shared" si="1"/>
        <v>47538052</v>
      </c>
      <c r="L9" s="209">
        <v>47538052</v>
      </c>
      <c r="M9" s="209">
        <f t="shared" ref="M9" si="2">SUM(M6:M8)</f>
        <v>55429034.011700004</v>
      </c>
      <c r="N9" s="146" t="s">
        <v>121</v>
      </c>
    </row>
    <row r="10" spans="1:14" s="149" customFormat="1" ht="12.75" x14ac:dyDescent="0.2">
      <c r="A10" s="147" t="s">
        <v>122</v>
      </c>
      <c r="B10" s="148">
        <v>338418</v>
      </c>
      <c r="C10" s="148">
        <v>534722</v>
      </c>
      <c r="D10" s="148">
        <v>549442</v>
      </c>
      <c r="E10" s="148">
        <v>549442</v>
      </c>
      <c r="F10" s="148">
        <v>549442</v>
      </c>
      <c r="G10" s="148">
        <v>549442</v>
      </c>
      <c r="H10" s="148">
        <v>799558</v>
      </c>
      <c r="I10" s="148">
        <v>1091237</v>
      </c>
      <c r="J10" s="148">
        <v>1138385</v>
      </c>
      <c r="K10" s="196">
        <v>1139017</v>
      </c>
      <c r="L10" s="208">
        <v>1139017</v>
      </c>
      <c r="M10" s="208">
        <v>1048580.6802340001</v>
      </c>
      <c r="N10" s="138"/>
    </row>
    <row r="11" spans="1:14" s="149" customFormat="1" ht="12.75" x14ac:dyDescent="0.2">
      <c r="A11" s="147" t="s">
        <v>123</v>
      </c>
      <c r="B11" s="148">
        <v>4784830</v>
      </c>
      <c r="C11" s="148">
        <v>4461114</v>
      </c>
      <c r="D11" s="148">
        <v>4492817</v>
      </c>
      <c r="E11" s="148">
        <v>4492817</v>
      </c>
      <c r="F11" s="148">
        <v>4492817</v>
      </c>
      <c r="G11" s="148">
        <v>4492817</v>
      </c>
      <c r="H11" s="148">
        <v>5662724</v>
      </c>
      <c r="I11" s="148">
        <v>7015169</v>
      </c>
      <c r="J11" s="148">
        <v>7239674</v>
      </c>
      <c r="K11" s="196">
        <v>7250566</v>
      </c>
      <c r="L11" s="208">
        <v>7250566</v>
      </c>
      <c r="M11" s="208">
        <v>7446406.4107617065</v>
      </c>
      <c r="N11" s="138"/>
    </row>
    <row r="12" spans="1:14" s="149" customFormat="1" ht="12.75" x14ac:dyDescent="0.2">
      <c r="A12" s="154" t="s">
        <v>124</v>
      </c>
      <c r="B12" s="148">
        <v>2892542</v>
      </c>
      <c r="C12" s="148">
        <v>2183596</v>
      </c>
      <c r="D12" s="148">
        <v>859035</v>
      </c>
      <c r="E12" s="148">
        <v>859035</v>
      </c>
      <c r="F12" s="148">
        <v>859035</v>
      </c>
      <c r="G12" s="148">
        <v>859035</v>
      </c>
      <c r="H12" s="148">
        <v>1058985</v>
      </c>
      <c r="I12" s="148">
        <v>1330975</v>
      </c>
      <c r="J12" s="148">
        <v>1418696</v>
      </c>
      <c r="K12" s="196">
        <v>1418696</v>
      </c>
      <c r="L12" s="208">
        <v>1418696</v>
      </c>
      <c r="M12" s="208">
        <v>1468012.9523276002</v>
      </c>
      <c r="N12" s="138"/>
    </row>
    <row r="13" spans="1:14" s="149" customFormat="1" ht="12.75" x14ac:dyDescent="0.2">
      <c r="A13" s="155" t="s">
        <v>125</v>
      </c>
      <c r="B13" s="148"/>
      <c r="C13" s="148"/>
      <c r="D13" s="148"/>
      <c r="E13" s="148"/>
      <c r="F13" s="148"/>
      <c r="G13" s="148"/>
      <c r="H13" s="148">
        <f>296275-217619</f>
        <v>78656</v>
      </c>
      <c r="I13" s="148">
        <f>600511-441086</f>
        <v>159425</v>
      </c>
      <c r="J13" s="148">
        <f>616198-452608</f>
        <v>163590</v>
      </c>
      <c r="K13" s="196">
        <f>616338-452711</f>
        <v>163627</v>
      </c>
      <c r="L13" s="208">
        <v>163627</v>
      </c>
      <c r="M13" s="208">
        <v>796447</v>
      </c>
      <c r="N13" s="138"/>
    </row>
    <row r="14" spans="1:14" s="157" customFormat="1" ht="36" x14ac:dyDescent="0.2">
      <c r="A14" s="151" t="s">
        <v>126</v>
      </c>
      <c r="B14" s="156">
        <f>SUM(B9-B10-B11-B12)</f>
        <v>20122974</v>
      </c>
      <c r="C14" s="156">
        <f t="shared" ref="C14:G14" si="3">SUM(C9-C10-C11-C12)</f>
        <v>21540196</v>
      </c>
      <c r="D14" s="156">
        <f t="shared" si="3"/>
        <v>22754991</v>
      </c>
      <c r="E14" s="156">
        <f t="shared" si="3"/>
        <v>22754991</v>
      </c>
      <c r="F14" s="156">
        <f t="shared" si="3"/>
        <v>22754991</v>
      </c>
      <c r="G14" s="156">
        <f t="shared" si="3"/>
        <v>22754991</v>
      </c>
      <c r="H14" s="156">
        <f>SUM(H9-H10-H11-H12-H13)</f>
        <v>28677924</v>
      </c>
      <c r="I14" s="156">
        <f t="shared" ref="I14:K14" si="4">SUM(I9-I10-I11-I12-I13)</f>
        <v>36228052</v>
      </c>
      <c r="J14" s="156">
        <f t="shared" si="4"/>
        <v>37562383</v>
      </c>
      <c r="K14" s="198">
        <f t="shared" si="4"/>
        <v>37566146</v>
      </c>
      <c r="L14" s="210">
        <v>37566146</v>
      </c>
      <c r="M14" s="210">
        <f t="shared" ref="M14" si="5">SUM(M9-M10-M11-M12-M13)</f>
        <v>44669586.968376696</v>
      </c>
      <c r="N14" s="146" t="s">
        <v>127</v>
      </c>
    </row>
    <row r="15" spans="1:14" s="149" customFormat="1" ht="25.5" x14ac:dyDescent="0.2">
      <c r="A15" s="158" t="s">
        <v>128</v>
      </c>
      <c r="B15" s="159">
        <v>11418</v>
      </c>
      <c r="C15" s="159">
        <v>15149</v>
      </c>
      <c r="D15" s="159">
        <v>49836</v>
      </c>
      <c r="E15" s="159">
        <v>49836</v>
      </c>
      <c r="F15" s="159">
        <v>49836</v>
      </c>
      <c r="G15" s="159">
        <v>49836</v>
      </c>
      <c r="H15" s="159">
        <v>66561</v>
      </c>
      <c r="I15" s="159">
        <v>66561</v>
      </c>
      <c r="J15" s="159">
        <v>66561</v>
      </c>
      <c r="K15" s="199">
        <v>66561</v>
      </c>
      <c r="L15" s="211">
        <v>66561</v>
      </c>
      <c r="M15" s="211">
        <v>50000</v>
      </c>
      <c r="N15" s="138"/>
    </row>
    <row r="16" spans="1:14" s="157" customFormat="1" ht="48.75" thickBot="1" x14ac:dyDescent="0.25">
      <c r="A16" s="160" t="s">
        <v>129</v>
      </c>
      <c r="B16" s="161">
        <f>SUM(B14,B15)</f>
        <v>20134392</v>
      </c>
      <c r="C16" s="161">
        <f t="shared" ref="C16:J16" si="6">SUM(C14,C15)</f>
        <v>21555345</v>
      </c>
      <c r="D16" s="161">
        <f t="shared" si="6"/>
        <v>22804827</v>
      </c>
      <c r="E16" s="161">
        <f t="shared" si="6"/>
        <v>22804827</v>
      </c>
      <c r="F16" s="161">
        <f t="shared" si="6"/>
        <v>22804827</v>
      </c>
      <c r="G16" s="161">
        <f t="shared" si="6"/>
        <v>22804827</v>
      </c>
      <c r="H16" s="161">
        <f t="shared" si="6"/>
        <v>28744485</v>
      </c>
      <c r="I16" s="161">
        <f t="shared" si="6"/>
        <v>36294613</v>
      </c>
      <c r="J16" s="161">
        <f t="shared" si="6"/>
        <v>37628944</v>
      </c>
      <c r="K16" s="200">
        <f>SUM(K14,K15)</f>
        <v>37632707</v>
      </c>
      <c r="L16" s="212">
        <v>37632707</v>
      </c>
      <c r="M16" s="212">
        <f>SUM(M14,M15)</f>
        <v>44719586.968376696</v>
      </c>
      <c r="N16" s="146" t="s">
        <v>130</v>
      </c>
    </row>
    <row r="17" spans="1:14" s="149" customFormat="1" ht="12.75" x14ac:dyDescent="0.2">
      <c r="A17" s="303" t="s">
        <v>131</v>
      </c>
      <c r="B17" s="304"/>
      <c r="C17" s="304"/>
      <c r="D17" s="304"/>
      <c r="E17" s="304"/>
      <c r="F17" s="304"/>
      <c r="G17" s="304"/>
      <c r="H17" s="304"/>
      <c r="I17" s="304"/>
      <c r="J17" s="304"/>
      <c r="K17" s="304"/>
      <c r="L17" s="213"/>
      <c r="M17" s="213"/>
      <c r="N17" s="138"/>
    </row>
    <row r="18" spans="1:14" s="149" customFormat="1" ht="25.5" x14ac:dyDescent="0.2">
      <c r="A18" s="147" t="s">
        <v>132</v>
      </c>
      <c r="B18" s="148">
        <v>12189729</v>
      </c>
      <c r="C18" s="148">
        <v>12772943</v>
      </c>
      <c r="D18" s="148">
        <v>12624949</v>
      </c>
      <c r="E18" s="148">
        <v>12624949</v>
      </c>
      <c r="F18" s="148">
        <v>12624949</v>
      </c>
      <c r="G18" s="148">
        <v>12624949</v>
      </c>
      <c r="H18" s="148">
        <v>17063471</v>
      </c>
      <c r="I18" s="148">
        <v>21871949</v>
      </c>
      <c r="J18" s="148">
        <v>22750029</v>
      </c>
      <c r="K18" s="196">
        <v>22750029</v>
      </c>
      <c r="L18" s="208">
        <v>22750029</v>
      </c>
      <c r="M18" s="208">
        <v>25990045.34</v>
      </c>
      <c r="N18" s="138"/>
    </row>
    <row r="19" spans="1:14" s="149" customFormat="1" ht="12.75" x14ac:dyDescent="0.2">
      <c r="A19" s="147" t="s">
        <v>133</v>
      </c>
      <c r="B19" s="148">
        <v>583211</v>
      </c>
      <c r="C19" s="148">
        <v>670529</v>
      </c>
      <c r="D19" s="148">
        <v>675846</v>
      </c>
      <c r="E19" s="148">
        <v>675846</v>
      </c>
      <c r="F19" s="148">
        <v>675846</v>
      </c>
      <c r="G19" s="148">
        <v>675846</v>
      </c>
      <c r="H19" s="148">
        <v>899796</v>
      </c>
      <c r="I19" s="148">
        <v>1109791</v>
      </c>
      <c r="J19" s="148">
        <v>1151981</v>
      </c>
      <c r="K19" s="196">
        <v>1157281</v>
      </c>
      <c r="L19" s="208">
        <v>1157281</v>
      </c>
      <c r="M19" s="208">
        <v>1187924</v>
      </c>
      <c r="N19" s="138"/>
    </row>
    <row r="20" spans="1:14" s="153" customFormat="1" ht="12.75" x14ac:dyDescent="0.25">
      <c r="A20" s="147" t="s">
        <v>134</v>
      </c>
      <c r="B20" s="162"/>
      <c r="C20" s="162"/>
      <c r="D20" s="162"/>
      <c r="E20" s="162"/>
      <c r="F20" s="162"/>
      <c r="G20" s="162"/>
      <c r="H20" s="162"/>
      <c r="I20" s="162"/>
      <c r="J20" s="162"/>
      <c r="K20" s="201"/>
      <c r="L20" s="234"/>
      <c r="M20" s="234"/>
      <c r="N20" s="163"/>
    </row>
    <row r="21" spans="1:14" s="149" customFormat="1" ht="24" x14ac:dyDescent="0.2">
      <c r="A21" s="147" t="s">
        <v>135</v>
      </c>
      <c r="B21" s="148"/>
      <c r="C21" s="148"/>
      <c r="D21" s="148"/>
      <c r="E21" s="148"/>
      <c r="F21" s="148"/>
      <c r="G21" s="148"/>
      <c r="H21" s="148">
        <v>1328683</v>
      </c>
      <c r="I21" s="148">
        <v>2621965</v>
      </c>
      <c r="J21" s="148">
        <v>2573162</v>
      </c>
      <c r="K21" s="196">
        <v>2522371</v>
      </c>
      <c r="L21" s="208">
        <v>2522371</v>
      </c>
      <c r="M21" s="208">
        <v>2675072</v>
      </c>
      <c r="N21" s="138" t="s">
        <v>172</v>
      </c>
    </row>
    <row r="22" spans="1:14" s="149" customFormat="1" ht="12.75" x14ac:dyDescent="0.2">
      <c r="A22" s="147" t="s">
        <v>136</v>
      </c>
      <c r="B22" s="148">
        <v>261883</v>
      </c>
      <c r="C22" s="148">
        <v>251665</v>
      </c>
      <c r="D22" s="148">
        <v>238109</v>
      </c>
      <c r="E22" s="148">
        <v>238109</v>
      </c>
      <c r="F22" s="148">
        <v>238109</v>
      </c>
      <c r="G22" s="148">
        <v>238109</v>
      </c>
      <c r="H22" s="148">
        <v>282100</v>
      </c>
      <c r="I22" s="148">
        <v>344271</v>
      </c>
      <c r="J22" s="148">
        <v>360491</v>
      </c>
      <c r="K22" s="196">
        <v>360491</v>
      </c>
      <c r="L22" s="208">
        <v>360491</v>
      </c>
      <c r="M22" s="208">
        <v>379028</v>
      </c>
      <c r="N22" s="138"/>
    </row>
    <row r="23" spans="1:14" s="149" customFormat="1" ht="12.75" x14ac:dyDescent="0.2">
      <c r="A23" s="147" t="s">
        <v>137</v>
      </c>
      <c r="B23" s="148"/>
      <c r="C23" s="148"/>
      <c r="D23" s="148"/>
      <c r="E23" s="148"/>
      <c r="F23" s="148"/>
      <c r="G23" s="148"/>
      <c r="H23" s="148">
        <v>1592830</v>
      </c>
      <c r="I23" s="148">
        <v>3185659</v>
      </c>
      <c r="J23" s="148">
        <v>3186659</v>
      </c>
      <c r="K23" s="196">
        <v>3186659</v>
      </c>
      <c r="L23" s="208">
        <v>3614868.2270105756</v>
      </c>
      <c r="M23" s="211">
        <v>3405084</v>
      </c>
      <c r="N23" s="149" t="s">
        <v>184</v>
      </c>
    </row>
    <row r="24" spans="1:14" s="157" customFormat="1" ht="12.75" x14ac:dyDescent="0.2">
      <c r="A24" s="147" t="s">
        <v>138</v>
      </c>
      <c r="B24" s="164"/>
      <c r="C24" s="164"/>
      <c r="D24" s="164"/>
      <c r="E24" s="164"/>
      <c r="F24" s="164"/>
      <c r="G24" s="164"/>
      <c r="H24" s="164"/>
      <c r="I24" s="164"/>
      <c r="J24" s="164"/>
      <c r="K24" s="202"/>
      <c r="L24" s="235"/>
      <c r="M24" s="208"/>
      <c r="N24" s="165"/>
    </row>
    <row r="25" spans="1:14" s="149" customFormat="1" ht="12.75" x14ac:dyDescent="0.2">
      <c r="A25" s="158" t="s">
        <v>139</v>
      </c>
      <c r="B25" s="148"/>
      <c r="C25" s="148"/>
      <c r="D25" s="148"/>
      <c r="E25" s="148"/>
      <c r="F25" s="148"/>
      <c r="G25" s="148"/>
      <c r="H25" s="148"/>
      <c r="I25" s="148"/>
      <c r="J25" s="148"/>
      <c r="K25" s="196"/>
      <c r="L25" s="208"/>
      <c r="M25" s="208"/>
      <c r="N25" s="138"/>
    </row>
    <row r="26" spans="1:14" s="149" customFormat="1" ht="12.75" x14ac:dyDescent="0.2">
      <c r="A26" s="147" t="s">
        <v>140</v>
      </c>
      <c r="B26" s="148">
        <v>1160064</v>
      </c>
      <c r="C26" s="148">
        <v>1188745</v>
      </c>
      <c r="D26" s="148">
        <v>1073747</v>
      </c>
      <c r="E26" s="148">
        <v>1073747</v>
      </c>
      <c r="F26" s="148">
        <v>1073747</v>
      </c>
      <c r="G26" s="148">
        <v>1073747</v>
      </c>
      <c r="H26" s="148">
        <v>1314294</v>
      </c>
      <c r="I26" s="148">
        <v>1505865</v>
      </c>
      <c r="J26" s="148">
        <v>1557063</v>
      </c>
      <c r="K26" s="196">
        <v>1557063</v>
      </c>
      <c r="L26" s="208">
        <v>1557063</v>
      </c>
      <c r="M26" s="239">
        <v>1995014</v>
      </c>
      <c r="N26" s="138"/>
    </row>
    <row r="27" spans="1:14" s="149" customFormat="1" ht="12.75" x14ac:dyDescent="0.2">
      <c r="A27" s="147" t="s">
        <v>141</v>
      </c>
      <c r="B27" s="159">
        <v>1215046</v>
      </c>
      <c r="C27" s="159">
        <v>1266097</v>
      </c>
      <c r="D27" s="159">
        <v>1112457</v>
      </c>
      <c r="E27" s="159">
        <v>1112457</v>
      </c>
      <c r="F27" s="159">
        <v>1112457</v>
      </c>
      <c r="G27" s="159">
        <v>1112457</v>
      </c>
      <c r="H27" s="159">
        <v>118211</v>
      </c>
      <c r="I27" s="159">
        <v>299131</v>
      </c>
      <c r="J27" s="159">
        <v>375943</v>
      </c>
      <c r="K27" s="199">
        <v>375943</v>
      </c>
      <c r="L27" s="214">
        <v>375943</v>
      </c>
      <c r="M27" s="240">
        <v>740534</v>
      </c>
      <c r="N27" s="138"/>
    </row>
    <row r="28" spans="1:14" s="149" customFormat="1" ht="24" x14ac:dyDescent="0.2">
      <c r="A28" s="166" t="s">
        <v>142</v>
      </c>
      <c r="B28" s="167">
        <v>342362</v>
      </c>
      <c r="C28" s="167">
        <v>324198</v>
      </c>
      <c r="D28" s="167">
        <v>263193</v>
      </c>
      <c r="E28" s="167">
        <v>263193</v>
      </c>
      <c r="F28" s="167">
        <v>263193</v>
      </c>
      <c r="G28" s="167">
        <v>263193</v>
      </c>
      <c r="H28" s="167">
        <v>283727</v>
      </c>
      <c r="I28" s="167">
        <v>316716</v>
      </c>
      <c r="J28" s="167">
        <v>329324</v>
      </c>
      <c r="K28" s="168">
        <v>329324</v>
      </c>
      <c r="L28" s="214">
        <v>329324</v>
      </c>
      <c r="M28" s="240">
        <v>1187093</v>
      </c>
      <c r="N28" s="138" t="s">
        <v>186</v>
      </c>
    </row>
    <row r="29" spans="1:14" s="149" customFormat="1" ht="24" x14ac:dyDescent="0.2">
      <c r="A29" s="166" t="s">
        <v>143</v>
      </c>
      <c r="B29" s="167">
        <v>3558560</v>
      </c>
      <c r="C29" s="167">
        <v>3689788</v>
      </c>
      <c r="D29" s="167">
        <v>3223071</v>
      </c>
      <c r="E29" s="167">
        <v>3223071</v>
      </c>
      <c r="F29" s="167">
        <v>3223071</v>
      </c>
      <c r="G29" s="167">
        <v>3223071</v>
      </c>
      <c r="H29" s="167">
        <v>3223071</v>
      </c>
      <c r="I29" s="167">
        <v>3223071</v>
      </c>
      <c r="J29" s="167">
        <v>3223071</v>
      </c>
      <c r="K29" s="168">
        <v>3223071</v>
      </c>
      <c r="L29" s="214">
        <v>3223071</v>
      </c>
      <c r="M29" s="240">
        <v>5004243</v>
      </c>
      <c r="N29" s="138" t="s">
        <v>185</v>
      </c>
    </row>
    <row r="30" spans="1:14" s="149" customFormat="1" ht="12.75" x14ac:dyDescent="0.2">
      <c r="A30" s="166"/>
      <c r="B30" s="167"/>
      <c r="C30" s="167"/>
      <c r="D30" s="167"/>
      <c r="E30" s="167"/>
      <c r="F30" s="167"/>
      <c r="G30" s="167"/>
      <c r="H30" s="167"/>
      <c r="I30" s="167"/>
      <c r="J30" s="167"/>
      <c r="K30" s="168"/>
      <c r="L30" s="214"/>
      <c r="M30" s="214"/>
      <c r="N30" s="138"/>
    </row>
    <row r="31" spans="1:14" s="149" customFormat="1" ht="36.75" thickBot="1" x14ac:dyDescent="0.25">
      <c r="A31" s="160" t="s">
        <v>144</v>
      </c>
      <c r="B31" s="169">
        <f t="shared" ref="B31:C31" si="7">SUM(B18:B29)</f>
        <v>19310855</v>
      </c>
      <c r="C31" s="169">
        <f t="shared" si="7"/>
        <v>20163965</v>
      </c>
      <c r="D31" s="169">
        <f>SUM(D18:D29)</f>
        <v>19211372</v>
      </c>
      <c r="E31" s="169">
        <f t="shared" ref="E31:K31" si="8">SUM(E18:E29)</f>
        <v>19211372</v>
      </c>
      <c r="F31" s="169">
        <f t="shared" si="8"/>
        <v>19211372</v>
      </c>
      <c r="G31" s="169">
        <f t="shared" si="8"/>
        <v>19211372</v>
      </c>
      <c r="H31" s="169">
        <f t="shared" si="8"/>
        <v>26106183</v>
      </c>
      <c r="I31" s="169">
        <f t="shared" si="8"/>
        <v>34478418</v>
      </c>
      <c r="J31" s="169">
        <f t="shared" si="8"/>
        <v>35507723</v>
      </c>
      <c r="K31" s="203">
        <f t="shared" si="8"/>
        <v>35462232</v>
      </c>
      <c r="L31" s="215">
        <v>35890441.227010578</v>
      </c>
      <c r="M31" s="215">
        <f t="shared" ref="M31" si="9">SUM(M18:M29)</f>
        <v>42564037.340000004</v>
      </c>
      <c r="N31" s="146" t="s">
        <v>145</v>
      </c>
    </row>
    <row r="32" spans="1:14" s="139" customFormat="1" ht="23.1" customHeight="1" x14ac:dyDescent="0.2">
      <c r="A32" s="288" t="s">
        <v>146</v>
      </c>
      <c r="B32" s="289"/>
      <c r="C32" s="289"/>
      <c r="D32" s="289"/>
      <c r="E32" s="289"/>
      <c r="F32" s="289"/>
      <c r="G32" s="289"/>
      <c r="H32" s="289"/>
      <c r="I32" s="289"/>
      <c r="J32" s="289"/>
      <c r="K32" s="289"/>
      <c r="L32" s="216"/>
      <c r="M32" s="216"/>
      <c r="N32" s="138"/>
    </row>
    <row r="33" spans="1:14" s="149" customFormat="1" ht="36" x14ac:dyDescent="0.2">
      <c r="A33" s="170" t="s">
        <v>147</v>
      </c>
      <c r="B33" s="171">
        <f t="shared" ref="B33:K33" si="10">SUM(B16-B31)</f>
        <v>823537</v>
      </c>
      <c r="C33" s="171">
        <f t="shared" si="10"/>
        <v>1391380</v>
      </c>
      <c r="D33" s="171">
        <f t="shared" si="10"/>
        <v>3593455</v>
      </c>
      <c r="E33" s="171">
        <f t="shared" si="10"/>
        <v>3593455</v>
      </c>
      <c r="F33" s="171">
        <f t="shared" si="10"/>
        <v>3593455</v>
      </c>
      <c r="G33" s="171">
        <f t="shared" si="10"/>
        <v>3593455</v>
      </c>
      <c r="H33" s="171">
        <f t="shared" si="10"/>
        <v>2638302</v>
      </c>
      <c r="I33" s="171">
        <f t="shared" si="10"/>
        <v>1816195</v>
      </c>
      <c r="J33" s="171">
        <f t="shared" si="10"/>
        <v>2121221</v>
      </c>
      <c r="K33" s="204">
        <f t="shared" si="10"/>
        <v>2170475</v>
      </c>
      <c r="L33" s="217">
        <v>1742265.7729894221</v>
      </c>
      <c r="M33" s="217">
        <f t="shared" ref="M33" si="11">SUM(M16-M31)</f>
        <v>2155549.6283766925</v>
      </c>
      <c r="N33" s="146" t="s">
        <v>148</v>
      </c>
    </row>
    <row r="34" spans="1:14" s="149" customFormat="1" ht="12.75" x14ac:dyDescent="0.2">
      <c r="A34" s="154" t="s">
        <v>149</v>
      </c>
      <c r="B34" s="148"/>
      <c r="C34" s="148"/>
      <c r="D34" s="148"/>
      <c r="E34" s="148"/>
      <c r="F34" s="148"/>
      <c r="G34" s="148"/>
      <c r="H34" s="148"/>
      <c r="I34" s="148"/>
      <c r="J34" s="148"/>
      <c r="K34" s="196"/>
      <c r="L34" s="208"/>
      <c r="M34" s="208"/>
      <c r="N34" s="138"/>
    </row>
    <row r="35" spans="1:14" s="172" customFormat="1" ht="24" x14ac:dyDescent="0.25">
      <c r="A35" s="151" t="s">
        <v>25</v>
      </c>
      <c r="B35" s="156">
        <f>SUM(B33:B34)</f>
        <v>823537</v>
      </c>
      <c r="C35" s="156">
        <f t="shared" ref="C35:K35" si="12">SUM(C33:C34)</f>
        <v>1391380</v>
      </c>
      <c r="D35" s="156">
        <f t="shared" si="12"/>
        <v>3593455</v>
      </c>
      <c r="E35" s="156">
        <f t="shared" si="12"/>
        <v>3593455</v>
      </c>
      <c r="F35" s="156">
        <f t="shared" si="12"/>
        <v>3593455</v>
      </c>
      <c r="G35" s="156">
        <f t="shared" si="12"/>
        <v>3593455</v>
      </c>
      <c r="H35" s="156">
        <f t="shared" si="12"/>
        <v>2638302</v>
      </c>
      <c r="I35" s="156">
        <f t="shared" si="12"/>
        <v>1816195</v>
      </c>
      <c r="J35" s="156">
        <f t="shared" si="12"/>
        <v>2121221</v>
      </c>
      <c r="K35" s="198">
        <f t="shared" si="12"/>
        <v>2170475</v>
      </c>
      <c r="L35" s="210">
        <v>1742265.7729894221</v>
      </c>
      <c r="M35" s="210">
        <f t="shared" ref="M35" si="13">SUM(M33:M34)</f>
        <v>2155549.6283766925</v>
      </c>
      <c r="N35" s="146" t="s">
        <v>150</v>
      </c>
    </row>
    <row r="36" spans="1:14" s="149" customFormat="1" ht="12.75" x14ac:dyDescent="0.2">
      <c r="A36" s="154" t="s">
        <v>151</v>
      </c>
      <c r="B36" s="148"/>
      <c r="C36" s="148"/>
      <c r="D36" s="148"/>
      <c r="E36" s="148"/>
      <c r="F36" s="148"/>
      <c r="G36" s="148"/>
      <c r="H36" s="148"/>
      <c r="I36" s="148"/>
      <c r="J36" s="148"/>
      <c r="K36" s="196"/>
      <c r="L36" s="208"/>
      <c r="M36" s="208"/>
      <c r="N36" s="138"/>
    </row>
    <row r="37" spans="1:14" s="157" customFormat="1" ht="36.75" thickBot="1" x14ac:dyDescent="0.25">
      <c r="A37" s="160" t="s">
        <v>152</v>
      </c>
      <c r="B37" s="161">
        <f>SUM(B35-B36)</f>
        <v>823537</v>
      </c>
      <c r="C37" s="161">
        <f t="shared" ref="C37:K37" si="14">SUM(C35-C36)</f>
        <v>1391380</v>
      </c>
      <c r="D37" s="161">
        <f t="shared" si="14"/>
        <v>3593455</v>
      </c>
      <c r="E37" s="161">
        <f t="shared" si="14"/>
        <v>3593455</v>
      </c>
      <c r="F37" s="161">
        <f t="shared" si="14"/>
        <v>3593455</v>
      </c>
      <c r="G37" s="161">
        <f t="shared" si="14"/>
        <v>3593455</v>
      </c>
      <c r="H37" s="161">
        <f t="shared" si="14"/>
        <v>2638302</v>
      </c>
      <c r="I37" s="161">
        <f t="shared" si="14"/>
        <v>1816195</v>
      </c>
      <c r="J37" s="161">
        <f t="shared" si="14"/>
        <v>2121221</v>
      </c>
      <c r="K37" s="200">
        <f t="shared" si="14"/>
        <v>2170475</v>
      </c>
      <c r="L37" s="212">
        <v>1742265.7729894221</v>
      </c>
      <c r="M37" s="212">
        <f t="shared" ref="M37" si="15">SUM(M35-M36)</f>
        <v>2155549.6283766925</v>
      </c>
      <c r="N37" s="146" t="s">
        <v>153</v>
      </c>
    </row>
    <row r="38" spans="1:14" s="139" customFormat="1" ht="12.75" x14ac:dyDescent="0.2">
      <c r="A38" s="290" t="s">
        <v>154</v>
      </c>
      <c r="B38" s="291"/>
      <c r="C38" s="291"/>
      <c r="D38" s="291"/>
      <c r="E38" s="291"/>
      <c r="F38" s="291"/>
      <c r="G38" s="291"/>
      <c r="H38" s="291"/>
      <c r="I38" s="291"/>
      <c r="J38" s="291"/>
      <c r="K38" s="291"/>
      <c r="L38" s="241"/>
      <c r="M38" s="241"/>
      <c r="N38" s="138"/>
    </row>
    <row r="39" spans="1:14" s="174" customFormat="1" ht="12.75" x14ac:dyDescent="0.2">
      <c r="A39" s="292" t="s">
        <v>155</v>
      </c>
      <c r="B39" s="293"/>
      <c r="C39" s="293"/>
      <c r="D39" s="293"/>
      <c r="E39" s="293"/>
      <c r="F39" s="293"/>
      <c r="G39" s="293"/>
      <c r="H39" s="293"/>
      <c r="I39" s="293"/>
      <c r="J39" s="293"/>
      <c r="K39" s="293"/>
      <c r="L39" s="241"/>
      <c r="M39" s="241"/>
      <c r="N39" s="173"/>
    </row>
    <row r="40" spans="1:14" s="149" customFormat="1" ht="24" x14ac:dyDescent="0.2">
      <c r="A40" s="175" t="s">
        <v>156</v>
      </c>
      <c r="B40" s="176">
        <v>0.14699999999999999</v>
      </c>
      <c r="C40" s="176">
        <v>0.14899999999999999</v>
      </c>
      <c r="D40" s="176">
        <v>0.14799999999999999</v>
      </c>
      <c r="E40" s="176">
        <v>0.14799999999999999</v>
      </c>
      <c r="F40" s="176">
        <v>0.14799999999999999</v>
      </c>
      <c r="G40" s="176">
        <v>0.14799999999999999</v>
      </c>
      <c r="H40" s="176">
        <v>0.183</v>
      </c>
      <c r="I40" s="176">
        <v>0.20599999999999999</v>
      </c>
      <c r="J40" s="176">
        <v>0.2</v>
      </c>
      <c r="K40" s="236">
        <v>0.214</v>
      </c>
      <c r="L40" s="242">
        <v>0.214</v>
      </c>
      <c r="M40" s="242">
        <v>0.11</v>
      </c>
      <c r="N40" s="138" t="s">
        <v>187</v>
      </c>
    </row>
    <row r="41" spans="1:14" s="149" customFormat="1" ht="12.75" x14ac:dyDescent="0.2">
      <c r="A41" s="175" t="s">
        <v>157</v>
      </c>
      <c r="B41" s="176">
        <v>0.379</v>
      </c>
      <c r="C41" s="176">
        <v>0.378</v>
      </c>
      <c r="D41" s="176">
        <v>0.38</v>
      </c>
      <c r="E41" s="176">
        <v>0.38</v>
      </c>
      <c r="F41" s="176">
        <v>0.38</v>
      </c>
      <c r="G41" s="176">
        <v>0.38</v>
      </c>
      <c r="H41" s="176">
        <v>0.32200000000000001</v>
      </c>
      <c r="I41" s="176">
        <v>0.28499999999999998</v>
      </c>
      <c r="J41" s="176">
        <v>0.29099999999999998</v>
      </c>
      <c r="K41" s="236">
        <v>0.3</v>
      </c>
      <c r="L41" s="242">
        <v>0.3</v>
      </c>
      <c r="M41" s="242">
        <v>0.51</v>
      </c>
      <c r="N41" s="138"/>
    </row>
    <row r="42" spans="1:14" s="149" customFormat="1" ht="12.75" x14ac:dyDescent="0.2">
      <c r="A42" s="175" t="s">
        <v>158</v>
      </c>
      <c r="B42" s="176">
        <v>0.189</v>
      </c>
      <c r="C42" s="176">
        <v>0.188</v>
      </c>
      <c r="D42" s="176">
        <v>0.188</v>
      </c>
      <c r="E42" s="176">
        <v>0.188</v>
      </c>
      <c r="F42" s="176">
        <v>0.188</v>
      </c>
      <c r="G42" s="176">
        <v>0.188</v>
      </c>
      <c r="H42" s="176">
        <v>0.20200000000000001</v>
      </c>
      <c r="I42" s="176">
        <v>0.21099999999999999</v>
      </c>
      <c r="J42" s="176">
        <v>0.21</v>
      </c>
      <c r="K42" s="236">
        <v>0.19900000000000001</v>
      </c>
      <c r="L42" s="242">
        <v>0.19900000000000001</v>
      </c>
      <c r="M42" s="242">
        <v>0.14000000000000001</v>
      </c>
      <c r="N42" s="138"/>
    </row>
    <row r="43" spans="1:14" s="149" customFormat="1" ht="12.75" x14ac:dyDescent="0.2">
      <c r="A43" s="175" t="s">
        <v>159</v>
      </c>
      <c r="B43" s="176">
        <v>0.20799999999999999</v>
      </c>
      <c r="C43" s="176">
        <v>0.20799999999999999</v>
      </c>
      <c r="D43" s="176">
        <v>0.20699999999999999</v>
      </c>
      <c r="E43" s="176">
        <v>0.20699999999999999</v>
      </c>
      <c r="F43" s="176">
        <v>0.20699999999999999</v>
      </c>
      <c r="G43" s="176">
        <v>0.20699999999999999</v>
      </c>
      <c r="H43" s="176">
        <v>0.224</v>
      </c>
      <c r="I43" s="176">
        <v>0.23400000000000001</v>
      </c>
      <c r="J43" s="176">
        <v>0.23300000000000001</v>
      </c>
      <c r="K43" s="236">
        <v>0.22</v>
      </c>
      <c r="L43" s="242">
        <v>0.22</v>
      </c>
      <c r="M43" s="242">
        <v>0.17</v>
      </c>
      <c r="N43" s="138"/>
    </row>
    <row r="44" spans="1:14" s="149" customFormat="1" ht="12.75" x14ac:dyDescent="0.2">
      <c r="A44" s="175" t="s">
        <v>160</v>
      </c>
      <c r="B44" s="176">
        <v>5.1999999999999998E-2</v>
      </c>
      <c r="C44" s="176">
        <v>5.1999999999999998E-2</v>
      </c>
      <c r="D44" s="176">
        <v>5.1999999999999998E-2</v>
      </c>
      <c r="E44" s="176">
        <v>5.1999999999999998E-2</v>
      </c>
      <c r="F44" s="176">
        <v>5.1999999999999998E-2</v>
      </c>
      <c r="G44" s="176">
        <v>5.1999999999999998E-2</v>
      </c>
      <c r="H44" s="176">
        <v>4.3999999999999997E-2</v>
      </c>
      <c r="I44" s="176">
        <v>3.7999999999999999E-2</v>
      </c>
      <c r="J44" s="176">
        <v>0.04</v>
      </c>
      <c r="K44" s="236">
        <v>4.2999999999999997E-2</v>
      </c>
      <c r="L44" s="242">
        <v>4.2999999999999997E-2</v>
      </c>
      <c r="M44" s="242">
        <v>0.04</v>
      </c>
      <c r="N44" s="138"/>
    </row>
    <row r="45" spans="1:14" s="149" customFormat="1" ht="12.75" x14ac:dyDescent="0.2">
      <c r="A45" s="175" t="s">
        <v>161</v>
      </c>
      <c r="B45" s="176">
        <v>2.5000000000000001E-2</v>
      </c>
      <c r="C45" s="176">
        <v>2.5000000000000001E-2</v>
      </c>
      <c r="D45" s="176">
        <v>2.5000000000000001E-2</v>
      </c>
      <c r="E45" s="176">
        <v>2.5000000000000001E-2</v>
      </c>
      <c r="F45" s="176">
        <v>2.5000000000000001E-2</v>
      </c>
      <c r="G45" s="176">
        <v>2.5000000000000001E-2</v>
      </c>
      <c r="H45" s="176">
        <v>2.5999999999999999E-2</v>
      </c>
      <c r="I45" s="176">
        <v>2.5999999999999999E-2</v>
      </c>
      <c r="J45" s="176">
        <v>2.5999999999999999E-2</v>
      </c>
      <c r="K45" s="236">
        <v>2.4E-2</v>
      </c>
      <c r="L45" s="242">
        <v>2.4E-2</v>
      </c>
      <c r="M45" s="242">
        <v>0.03</v>
      </c>
      <c r="N45" s="138"/>
    </row>
    <row r="46" spans="1:14" s="157" customFormat="1" ht="24.75" thickBot="1" x14ac:dyDescent="0.25">
      <c r="A46" s="177" t="s">
        <v>162</v>
      </c>
      <c r="B46" s="178">
        <f>SUM(B40:B45)</f>
        <v>1</v>
      </c>
      <c r="C46" s="178">
        <f t="shared" ref="C46:K46" si="16">SUM(C40:C45)</f>
        <v>1</v>
      </c>
      <c r="D46" s="178">
        <f t="shared" si="16"/>
        <v>1</v>
      </c>
      <c r="E46" s="178">
        <f t="shared" si="16"/>
        <v>1</v>
      </c>
      <c r="F46" s="178">
        <f t="shared" si="16"/>
        <v>1</v>
      </c>
      <c r="G46" s="178">
        <f t="shared" si="16"/>
        <v>1</v>
      </c>
      <c r="H46" s="178">
        <f t="shared" si="16"/>
        <v>1.0010000000000001</v>
      </c>
      <c r="I46" s="178">
        <f t="shared" si="16"/>
        <v>1</v>
      </c>
      <c r="J46" s="178">
        <f t="shared" si="16"/>
        <v>1</v>
      </c>
      <c r="K46" s="237">
        <f t="shared" si="16"/>
        <v>1</v>
      </c>
      <c r="L46" s="243">
        <v>1</v>
      </c>
      <c r="M46" s="243">
        <f t="shared" ref="M46" si="17">SUM(M40:M45)</f>
        <v>1</v>
      </c>
      <c r="N46" s="146" t="s">
        <v>163</v>
      </c>
    </row>
    <row r="47" spans="1:14" s="143" customFormat="1" ht="12.75" x14ac:dyDescent="0.2">
      <c r="A47" s="294" t="s">
        <v>164</v>
      </c>
      <c r="B47" s="291"/>
      <c r="C47" s="291"/>
      <c r="D47" s="291"/>
      <c r="E47" s="291"/>
      <c r="F47" s="291"/>
      <c r="G47" s="291"/>
      <c r="H47" s="291"/>
      <c r="I47" s="291"/>
      <c r="J47" s="291"/>
      <c r="K47" s="291"/>
      <c r="L47" s="241"/>
      <c r="M47" s="241"/>
      <c r="N47" s="173"/>
    </row>
    <row r="48" spans="1:14" s="149" customFormat="1" ht="12.75" x14ac:dyDescent="0.2">
      <c r="A48" s="175" t="s">
        <v>156</v>
      </c>
      <c r="B48" s="176">
        <v>0.14799999999999999</v>
      </c>
      <c r="C48" s="176">
        <v>0.15</v>
      </c>
      <c r="D48" s="176">
        <v>0.15</v>
      </c>
      <c r="E48" s="176">
        <v>0.15</v>
      </c>
      <c r="F48" s="176">
        <v>0.15</v>
      </c>
      <c r="G48" s="176">
        <v>0.15</v>
      </c>
      <c r="H48" s="176">
        <v>0.191</v>
      </c>
      <c r="I48" s="176">
        <v>0.221</v>
      </c>
      <c r="J48" s="176">
        <v>0.214</v>
      </c>
      <c r="K48" s="236">
        <v>0.214</v>
      </c>
      <c r="L48" s="242">
        <v>0.214</v>
      </c>
      <c r="M48" s="242">
        <v>0.11</v>
      </c>
      <c r="N48" s="138"/>
    </row>
    <row r="49" spans="1:14" s="149" customFormat="1" ht="12.75" x14ac:dyDescent="0.2">
      <c r="A49" s="175" t="s">
        <v>157</v>
      </c>
      <c r="B49" s="176">
        <v>0.377</v>
      </c>
      <c r="C49" s="176">
        <v>0.376</v>
      </c>
      <c r="D49" s="176">
        <v>0.376</v>
      </c>
      <c r="E49" s="176">
        <v>0.376</v>
      </c>
      <c r="F49" s="176">
        <v>0.376</v>
      </c>
      <c r="G49" s="176">
        <v>0.376</v>
      </c>
      <c r="H49" s="176">
        <v>0.32800000000000001</v>
      </c>
      <c r="I49" s="176">
        <v>0.29399999999999998</v>
      </c>
      <c r="J49" s="176">
        <v>0.3</v>
      </c>
      <c r="K49" s="236">
        <v>0.3</v>
      </c>
      <c r="L49" s="242">
        <v>0.3</v>
      </c>
      <c r="M49" s="242">
        <v>0.51</v>
      </c>
      <c r="N49" s="138"/>
    </row>
    <row r="50" spans="1:14" s="149" customFormat="1" ht="12.75" x14ac:dyDescent="0.2">
      <c r="A50" s="175" t="s">
        <v>158</v>
      </c>
      <c r="B50" s="176">
        <v>0.19</v>
      </c>
      <c r="C50" s="176">
        <v>0.189</v>
      </c>
      <c r="D50" s="176">
        <v>0.189</v>
      </c>
      <c r="E50" s="176">
        <v>0.189</v>
      </c>
      <c r="F50" s="176">
        <v>0.189</v>
      </c>
      <c r="G50" s="176">
        <v>0.189</v>
      </c>
      <c r="H50" s="176">
        <v>0.19500000000000001</v>
      </c>
      <c r="I50" s="176">
        <v>0.19900000000000001</v>
      </c>
      <c r="J50" s="176">
        <v>0.19900000000000001</v>
      </c>
      <c r="K50" s="236">
        <v>0.19900000000000001</v>
      </c>
      <c r="L50" s="242">
        <v>0.19900000000000001</v>
      </c>
      <c r="M50" s="242">
        <v>0.14000000000000001</v>
      </c>
      <c r="N50" s="138"/>
    </row>
    <row r="51" spans="1:14" s="149" customFormat="1" ht="12.75" x14ac:dyDescent="0.2">
      <c r="A51" s="175" t="s">
        <v>159</v>
      </c>
      <c r="B51" s="176">
        <v>0.20899999999999999</v>
      </c>
      <c r="C51" s="176">
        <v>0.20799999999999999</v>
      </c>
      <c r="D51" s="176">
        <v>0.20799999999999999</v>
      </c>
      <c r="E51" s="176">
        <v>0.20799999999999999</v>
      </c>
      <c r="F51" s="176">
        <v>0.20799999999999999</v>
      </c>
      <c r="G51" s="176">
        <v>0.20799999999999999</v>
      </c>
      <c r="H51" s="176">
        <v>0.216</v>
      </c>
      <c r="I51" s="176">
        <v>0.22</v>
      </c>
      <c r="J51" s="176">
        <v>0.22</v>
      </c>
      <c r="K51" s="236">
        <v>0.22</v>
      </c>
      <c r="L51" s="242">
        <v>0.22</v>
      </c>
      <c r="M51" s="242">
        <v>0.17</v>
      </c>
      <c r="N51" s="138"/>
    </row>
    <row r="52" spans="1:14" s="149" customFormat="1" ht="12.75" x14ac:dyDescent="0.2">
      <c r="A52" s="175" t="s">
        <v>160</v>
      </c>
      <c r="B52" s="176">
        <v>5.0999999999999997E-2</v>
      </c>
      <c r="C52" s="176">
        <v>5.1999999999999998E-2</v>
      </c>
      <c r="D52" s="176">
        <v>5.1999999999999998E-2</v>
      </c>
      <c r="E52" s="176">
        <v>5.1999999999999998E-2</v>
      </c>
      <c r="F52" s="176">
        <v>5.1999999999999998E-2</v>
      </c>
      <c r="G52" s="176">
        <v>5.1999999999999998E-2</v>
      </c>
      <c r="H52" s="176">
        <v>4.5999999999999999E-2</v>
      </c>
      <c r="I52" s="176">
        <v>4.2000000000000003E-2</v>
      </c>
      <c r="J52" s="176">
        <v>4.2999999999999997E-2</v>
      </c>
      <c r="K52" s="236">
        <v>4.2999999999999997E-2</v>
      </c>
      <c r="L52" s="242">
        <v>4.2999999999999997E-2</v>
      </c>
      <c r="M52" s="242">
        <v>0.04</v>
      </c>
      <c r="N52" s="138"/>
    </row>
    <row r="53" spans="1:14" s="149" customFormat="1" ht="12.75" x14ac:dyDescent="0.2">
      <c r="A53" s="175" t="s">
        <v>161</v>
      </c>
      <c r="B53" s="176">
        <v>2.5000000000000001E-2</v>
      </c>
      <c r="C53" s="176">
        <v>2.5000000000000001E-2</v>
      </c>
      <c r="D53" s="176">
        <v>2.5000000000000001E-2</v>
      </c>
      <c r="E53" s="176">
        <v>2.5000000000000001E-2</v>
      </c>
      <c r="F53" s="176">
        <v>2.5000000000000001E-2</v>
      </c>
      <c r="G53" s="176">
        <v>2.5000000000000001E-2</v>
      </c>
      <c r="H53" s="176">
        <v>2.4E-2</v>
      </c>
      <c r="I53" s="176">
        <v>2.4E-2</v>
      </c>
      <c r="J53" s="176">
        <v>2.4E-2</v>
      </c>
      <c r="K53" s="236">
        <v>2.4E-2</v>
      </c>
      <c r="L53" s="242">
        <v>2.4E-2</v>
      </c>
      <c r="M53" s="242">
        <v>0.03</v>
      </c>
      <c r="N53" s="138"/>
    </row>
    <row r="54" spans="1:14" s="157" customFormat="1" ht="24.75" thickBot="1" x14ac:dyDescent="0.25">
      <c r="A54" s="177" t="s">
        <v>162</v>
      </c>
      <c r="B54" s="178">
        <f>SUM(B48:B53)</f>
        <v>1</v>
      </c>
      <c r="C54" s="178">
        <f t="shared" ref="C54:K54" si="18">SUM(C48:C53)</f>
        <v>1</v>
      </c>
      <c r="D54" s="178">
        <f t="shared" si="18"/>
        <v>1</v>
      </c>
      <c r="E54" s="178">
        <f t="shared" si="18"/>
        <v>1</v>
      </c>
      <c r="F54" s="178">
        <f t="shared" si="18"/>
        <v>1</v>
      </c>
      <c r="G54" s="178">
        <f t="shared" si="18"/>
        <v>1</v>
      </c>
      <c r="H54" s="178">
        <f t="shared" si="18"/>
        <v>1</v>
      </c>
      <c r="I54" s="178">
        <f t="shared" si="18"/>
        <v>1</v>
      </c>
      <c r="J54" s="178">
        <f t="shared" si="18"/>
        <v>1</v>
      </c>
      <c r="K54" s="237">
        <f t="shared" si="18"/>
        <v>1</v>
      </c>
      <c r="L54" s="243">
        <v>1</v>
      </c>
      <c r="M54" s="243">
        <f t="shared" ref="M54" si="19">SUM(M48:M53)</f>
        <v>1</v>
      </c>
      <c r="N54" s="146" t="s">
        <v>165</v>
      </c>
    </row>
    <row r="55" spans="1:14" s="139" customFormat="1" ht="12.75" x14ac:dyDescent="0.2">
      <c r="A55" s="179"/>
      <c r="B55" s="179"/>
      <c r="C55" s="179"/>
      <c r="D55" s="179"/>
      <c r="E55" s="179"/>
      <c r="F55" s="179"/>
      <c r="G55" s="179"/>
      <c r="H55" s="179"/>
      <c r="I55" s="179"/>
      <c r="J55" s="179"/>
      <c r="K55" s="179"/>
      <c r="L55" s="179"/>
      <c r="M55" s="179"/>
      <c r="N55" s="138"/>
    </row>
    <row r="56" spans="1:14" s="139" customFormat="1" ht="12.75" x14ac:dyDescent="0.2">
      <c r="A56" s="179"/>
      <c r="N56" s="138"/>
    </row>
  </sheetData>
  <sheetProtection formatCells="0" formatColumns="0" formatRows="0" insertColumns="0" insertRows="0" deleteColumns="0" deleteRows="0" selectLockedCells="1"/>
  <mergeCells count="10">
    <mergeCell ref="A32:K32"/>
    <mergeCell ref="A38:K38"/>
    <mergeCell ref="A39:K39"/>
    <mergeCell ref="A47:K47"/>
    <mergeCell ref="A1:K1"/>
    <mergeCell ref="A2:K2"/>
    <mergeCell ref="B3:C3"/>
    <mergeCell ref="E3:K3"/>
    <mergeCell ref="A5:K5"/>
    <mergeCell ref="A17:K17"/>
  </mergeCells>
  <printOptions horizontalCentered="1"/>
  <pageMargins left="0.7" right="0.7" top="0.86" bottom="0.57999999999999996" header="0.3" footer="0.3"/>
  <pageSetup scale="66" fitToHeight="0" orientation="landscape" r:id="rId1"/>
  <headerFooter>
    <oddFooter>&amp;CTABLE G. REVENUES &amp; EXPENSES, UNINFLATED - ENTIRE FACILITY</oddFooter>
  </headerFooter>
  <rowBreaks count="1" manualBreakCount="1">
    <brk id="31" max="12" man="1"/>
  </rowBreaks>
  <colBreaks count="1" manualBreakCount="1">
    <brk id="13" max="94" man="1"/>
  </colBreaks>
  <ignoredErrors>
    <ignoredError sqref="H13:M1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N57"/>
  <sheetViews>
    <sheetView zoomScaleNormal="100" workbookViewId="0">
      <pane ySplit="4" topLeftCell="A8" activePane="bottomLeft" state="frozen"/>
      <selection activeCell="G23" sqref="G23"/>
      <selection pane="bottomLeft" sqref="A1:K1"/>
    </sheetView>
  </sheetViews>
  <sheetFormatPr defaultColWidth="10.7109375" defaultRowHeight="12" x14ac:dyDescent="0.2"/>
  <cols>
    <col min="1" max="1" width="33.7109375" style="181" customWidth="1"/>
    <col min="2" max="3" width="12.28515625" style="181" customWidth="1"/>
    <col min="4" max="4" width="13.28515625" style="181" bestFit="1" customWidth="1"/>
    <col min="5" max="13" width="12.28515625" style="181" customWidth="1"/>
    <col min="14" max="14" width="29.5703125" style="138" bestFit="1" customWidth="1"/>
    <col min="15" max="18" width="10.7109375" style="181"/>
    <col min="19" max="19" width="10.7109375" style="181" customWidth="1"/>
    <col min="20" max="16384" width="10.7109375" style="181"/>
  </cols>
  <sheetData>
    <row r="1" spans="1:14" s="182" customFormat="1" ht="12.75" x14ac:dyDescent="0.2">
      <c r="A1" s="307" t="s">
        <v>192</v>
      </c>
      <c r="B1" s="307"/>
      <c r="C1" s="307"/>
      <c r="D1" s="307"/>
      <c r="E1" s="307"/>
      <c r="F1" s="307"/>
      <c r="G1" s="307"/>
      <c r="H1" s="307"/>
      <c r="I1" s="307"/>
      <c r="J1" s="307"/>
      <c r="K1" s="307"/>
      <c r="L1" s="226"/>
      <c r="M1" s="190"/>
      <c r="N1" s="138"/>
    </row>
    <row r="2" spans="1:14" s="182" customFormat="1" ht="39" customHeight="1" thickBot="1" x14ac:dyDescent="0.25">
      <c r="A2" s="308" t="s">
        <v>166</v>
      </c>
      <c r="B2" s="309"/>
      <c r="C2" s="309"/>
      <c r="D2" s="309"/>
      <c r="E2" s="309"/>
      <c r="F2" s="309"/>
      <c r="G2" s="309"/>
      <c r="H2" s="309"/>
      <c r="I2" s="309"/>
      <c r="J2" s="309"/>
      <c r="K2" s="309"/>
      <c r="L2" s="227"/>
      <c r="M2" s="194"/>
      <c r="N2" s="138"/>
    </row>
    <row r="3" spans="1:14" s="185" customFormat="1" ht="25.5" customHeight="1" x14ac:dyDescent="0.2">
      <c r="A3" s="183"/>
      <c r="B3" s="310" t="s">
        <v>101</v>
      </c>
      <c r="C3" s="310"/>
      <c r="D3" s="184" t="s">
        <v>102</v>
      </c>
      <c r="E3" s="299" t="s">
        <v>103</v>
      </c>
      <c r="F3" s="300"/>
      <c r="G3" s="300"/>
      <c r="H3" s="300"/>
      <c r="I3" s="300"/>
      <c r="J3" s="300"/>
      <c r="K3" s="300"/>
      <c r="L3" s="205" t="s">
        <v>180</v>
      </c>
      <c r="M3" s="205" t="s">
        <v>170</v>
      </c>
      <c r="N3" s="142" t="s">
        <v>104</v>
      </c>
    </row>
    <row r="4" spans="1:14" s="185" customFormat="1" ht="13.5" thickBot="1" x14ac:dyDescent="0.25">
      <c r="A4" s="186" t="s">
        <v>105</v>
      </c>
      <c r="B4" s="145" t="s">
        <v>106</v>
      </c>
      <c r="C4" s="145" t="s">
        <v>107</v>
      </c>
      <c r="D4" s="145" t="s">
        <v>108</v>
      </c>
      <c r="E4" s="145" t="s">
        <v>109</v>
      </c>
      <c r="F4" s="145" t="s">
        <v>110</v>
      </c>
      <c r="G4" s="145" t="s">
        <v>111</v>
      </c>
      <c r="H4" s="145" t="s">
        <v>112</v>
      </c>
      <c r="I4" s="145" t="s">
        <v>113</v>
      </c>
      <c r="J4" s="145" t="s">
        <v>114</v>
      </c>
      <c r="K4" s="195" t="s">
        <v>115</v>
      </c>
      <c r="L4" s="206" t="s">
        <v>115</v>
      </c>
      <c r="M4" s="206" t="s">
        <v>115</v>
      </c>
      <c r="N4" s="146" t="s">
        <v>105</v>
      </c>
    </row>
    <row r="5" spans="1:14" s="182" customFormat="1" ht="12.75" x14ac:dyDescent="0.2">
      <c r="A5" s="311">
        <v>25319773</v>
      </c>
      <c r="B5" s="312"/>
      <c r="C5" s="312"/>
      <c r="D5" s="312"/>
      <c r="E5" s="312"/>
      <c r="F5" s="312"/>
      <c r="G5" s="312"/>
      <c r="H5" s="312"/>
      <c r="I5" s="312"/>
      <c r="J5" s="312"/>
      <c r="K5" s="312"/>
      <c r="L5" s="245"/>
      <c r="M5" s="245"/>
      <c r="N5" s="138"/>
    </row>
    <row r="6" spans="1:14" s="149" customFormat="1" ht="12.75" x14ac:dyDescent="0.2">
      <c r="A6" s="147" t="s">
        <v>117</v>
      </c>
      <c r="B6" s="148">
        <v>23937093</v>
      </c>
      <c r="C6" s="148">
        <v>24573143</v>
      </c>
      <c r="D6" s="148">
        <v>24345936</v>
      </c>
      <c r="E6" s="148">
        <v>24832855</v>
      </c>
      <c r="F6" s="148">
        <v>25319773</v>
      </c>
      <c r="G6" s="148">
        <v>25806692</v>
      </c>
      <c r="H6" s="148">
        <v>28519279</v>
      </c>
      <c r="I6" s="148">
        <v>34124172</v>
      </c>
      <c r="J6" s="148">
        <v>36455395</v>
      </c>
      <c r="K6" s="196">
        <v>37106382</v>
      </c>
      <c r="L6" s="208">
        <v>37106382</v>
      </c>
      <c r="M6" s="208">
        <v>36700323.808190003</v>
      </c>
      <c r="N6" s="138" t="s">
        <v>182</v>
      </c>
    </row>
    <row r="7" spans="1:14" s="149" customFormat="1" ht="12.75" x14ac:dyDescent="0.2">
      <c r="A7" s="147" t="s">
        <v>118</v>
      </c>
      <c r="B7" s="148">
        <v>4201671</v>
      </c>
      <c r="C7" s="148">
        <v>4146485</v>
      </c>
      <c r="D7" s="148">
        <v>4310349</v>
      </c>
      <c r="E7" s="148">
        <v>4396556</v>
      </c>
      <c r="F7" s="148">
        <v>4482763</v>
      </c>
      <c r="G7" s="148">
        <v>4568970</v>
      </c>
      <c r="H7" s="148">
        <v>10340818</v>
      </c>
      <c r="I7" s="148">
        <v>15622610</v>
      </c>
      <c r="J7" s="148">
        <v>16079921</v>
      </c>
      <c r="K7" s="196">
        <v>16384371</v>
      </c>
      <c r="L7" s="208">
        <v>16384371</v>
      </c>
      <c r="M7" s="208">
        <v>15728710.203510001</v>
      </c>
      <c r="N7" s="138"/>
    </row>
    <row r="8" spans="1:14" s="149" customFormat="1" ht="24" x14ac:dyDescent="0.2">
      <c r="A8" s="150" t="s">
        <v>119</v>
      </c>
      <c r="B8" s="148"/>
      <c r="C8" s="148"/>
      <c r="D8" s="148"/>
      <c r="E8" s="148"/>
      <c r="F8" s="148"/>
      <c r="G8" s="148"/>
      <c r="H8" s="148">
        <v>296275</v>
      </c>
      <c r="I8" s="148">
        <v>600511</v>
      </c>
      <c r="J8" s="148">
        <v>616198</v>
      </c>
      <c r="K8" s="196">
        <v>616338</v>
      </c>
      <c r="L8" s="208">
        <v>616338</v>
      </c>
      <c r="M8" s="208">
        <v>3000000</v>
      </c>
      <c r="N8" s="138" t="s">
        <v>188</v>
      </c>
    </row>
    <row r="9" spans="1:14" s="153" customFormat="1" ht="24" x14ac:dyDescent="0.25">
      <c r="A9" s="151" t="s">
        <v>120</v>
      </c>
      <c r="B9" s="152">
        <f t="shared" ref="B9:G9" si="0">SUM(B6:B8)</f>
        <v>28138764</v>
      </c>
      <c r="C9" s="152">
        <f t="shared" si="0"/>
        <v>28719628</v>
      </c>
      <c r="D9" s="152">
        <f t="shared" si="0"/>
        <v>28656285</v>
      </c>
      <c r="E9" s="152">
        <f t="shared" si="0"/>
        <v>29229411</v>
      </c>
      <c r="F9" s="152">
        <f t="shared" si="0"/>
        <v>29802536</v>
      </c>
      <c r="G9" s="152">
        <f t="shared" si="0"/>
        <v>30375662</v>
      </c>
      <c r="H9" s="152">
        <f>SUM(H6:H8)</f>
        <v>39156372</v>
      </c>
      <c r="I9" s="152">
        <f t="shared" ref="I9:K9" si="1">SUM(I6:I8)</f>
        <v>50347293</v>
      </c>
      <c r="J9" s="152">
        <f t="shared" si="1"/>
        <v>53151514</v>
      </c>
      <c r="K9" s="197">
        <f t="shared" si="1"/>
        <v>54107091</v>
      </c>
      <c r="L9" s="209">
        <v>54107091</v>
      </c>
      <c r="M9" s="209">
        <f t="shared" ref="M9" si="2">SUM(M6:M8)</f>
        <v>55429034.011700004</v>
      </c>
      <c r="N9" s="146" t="s">
        <v>121</v>
      </c>
    </row>
    <row r="10" spans="1:14" s="149" customFormat="1" ht="12.75" x14ac:dyDescent="0.2">
      <c r="A10" s="147" t="s">
        <v>122</v>
      </c>
      <c r="B10" s="148">
        <v>338418</v>
      </c>
      <c r="C10" s="148">
        <v>534722</v>
      </c>
      <c r="D10" s="148">
        <v>549442</v>
      </c>
      <c r="E10" s="148">
        <v>560431</v>
      </c>
      <c r="F10" s="148">
        <v>571420</v>
      </c>
      <c r="G10" s="148">
        <v>582409</v>
      </c>
      <c r="H10" s="148">
        <v>863523</v>
      </c>
      <c r="I10" s="148">
        <v>1200361</v>
      </c>
      <c r="J10" s="148">
        <v>1274991</v>
      </c>
      <c r="K10" s="196">
        <v>1298479</v>
      </c>
      <c r="L10" s="208">
        <v>1298479</v>
      </c>
      <c r="M10" s="208">
        <v>1048580.6802340001</v>
      </c>
      <c r="N10" s="138"/>
    </row>
    <row r="11" spans="1:14" s="149" customFormat="1" ht="12.75" x14ac:dyDescent="0.2">
      <c r="A11" s="147" t="s">
        <v>123</v>
      </c>
      <c r="B11" s="148">
        <v>4784830</v>
      </c>
      <c r="C11" s="148">
        <v>4461114</v>
      </c>
      <c r="D11" s="148">
        <v>4492817</v>
      </c>
      <c r="E11" s="148">
        <v>4582673</v>
      </c>
      <c r="F11" s="148">
        <v>4672529</v>
      </c>
      <c r="G11" s="148">
        <v>4762386</v>
      </c>
      <c r="H11" s="148">
        <v>6115742</v>
      </c>
      <c r="I11" s="148">
        <v>7716686</v>
      </c>
      <c r="J11" s="148">
        <v>8108435</v>
      </c>
      <c r="K11" s="196">
        <v>8265646</v>
      </c>
      <c r="L11" s="208">
        <v>8265646</v>
      </c>
      <c r="M11" s="208">
        <v>7446406.4107617065</v>
      </c>
      <c r="N11" s="138"/>
    </row>
    <row r="12" spans="1:14" s="149" customFormat="1" ht="12.75" x14ac:dyDescent="0.2">
      <c r="A12" s="147" t="s">
        <v>124</v>
      </c>
      <c r="B12" s="148">
        <v>2892542</v>
      </c>
      <c r="C12" s="148">
        <v>2183596</v>
      </c>
      <c r="D12" s="148">
        <v>859035</v>
      </c>
      <c r="E12" s="148">
        <v>876216</v>
      </c>
      <c r="F12" s="148">
        <v>893396</v>
      </c>
      <c r="G12" s="148">
        <v>910577</v>
      </c>
      <c r="H12" s="148">
        <v>1143703</v>
      </c>
      <c r="I12" s="148">
        <v>1464072</v>
      </c>
      <c r="J12" s="148">
        <v>1588940</v>
      </c>
      <c r="K12" s="196">
        <v>1617313</v>
      </c>
      <c r="L12" s="208">
        <v>1617313</v>
      </c>
      <c r="M12" s="208">
        <v>1468012.9523276002</v>
      </c>
      <c r="N12" s="138"/>
    </row>
    <row r="13" spans="1:14" s="149" customFormat="1" ht="12.75" x14ac:dyDescent="0.2">
      <c r="A13" s="150" t="s">
        <v>167</v>
      </c>
      <c r="B13" s="148"/>
      <c r="C13" s="148"/>
      <c r="D13" s="148"/>
      <c r="E13" s="148"/>
      <c r="F13" s="148"/>
      <c r="G13" s="148"/>
      <c r="H13" s="148">
        <f>296275-217619</f>
        <v>78656</v>
      </c>
      <c r="I13" s="148">
        <f>600511-441086</f>
        <v>159425</v>
      </c>
      <c r="J13" s="148">
        <f>616198-452608</f>
        <v>163590</v>
      </c>
      <c r="K13" s="196">
        <f>616338-452711</f>
        <v>163627</v>
      </c>
      <c r="L13" s="208">
        <v>163627</v>
      </c>
      <c r="M13" s="208">
        <v>796447</v>
      </c>
      <c r="N13" s="138"/>
    </row>
    <row r="14" spans="1:14" s="157" customFormat="1" ht="36" x14ac:dyDescent="0.2">
      <c r="A14" s="151" t="s">
        <v>126</v>
      </c>
      <c r="B14" s="156">
        <f>SUM(B9-B10-B11-B12)</f>
        <v>20122974</v>
      </c>
      <c r="C14" s="156">
        <f t="shared" ref="C14:G14" si="3">SUM(C9-C10-C11-C12)</f>
        <v>21540196</v>
      </c>
      <c r="D14" s="156">
        <f t="shared" si="3"/>
        <v>22754991</v>
      </c>
      <c r="E14" s="156">
        <f t="shared" si="3"/>
        <v>23210091</v>
      </c>
      <c r="F14" s="156">
        <f t="shared" si="3"/>
        <v>23665191</v>
      </c>
      <c r="G14" s="156">
        <f t="shared" si="3"/>
        <v>24120290</v>
      </c>
      <c r="H14" s="156">
        <f>SUM(H9-H10-H11-H12-H13)</f>
        <v>30954748</v>
      </c>
      <c r="I14" s="156">
        <f t="shared" ref="I14:K14" si="4">SUM(I9-I10-I11-I12-I13)</f>
        <v>39806749</v>
      </c>
      <c r="J14" s="156">
        <f t="shared" si="4"/>
        <v>42015558</v>
      </c>
      <c r="K14" s="198">
        <f t="shared" si="4"/>
        <v>42762026</v>
      </c>
      <c r="L14" s="210">
        <v>42762026</v>
      </c>
      <c r="M14" s="210">
        <f t="shared" ref="M14" si="5">SUM(M9-M10-M11-M12-M13)</f>
        <v>44669586.968376696</v>
      </c>
      <c r="N14" s="146" t="s">
        <v>127</v>
      </c>
    </row>
    <row r="15" spans="1:14" s="149" customFormat="1" ht="25.5" x14ac:dyDescent="0.2">
      <c r="A15" s="158" t="s">
        <v>128</v>
      </c>
      <c r="B15" s="159">
        <v>11418</v>
      </c>
      <c r="C15" s="159">
        <v>15149</v>
      </c>
      <c r="D15" s="159">
        <v>49836</v>
      </c>
      <c r="E15" s="159">
        <v>50833</v>
      </c>
      <c r="F15" s="159">
        <v>51829</v>
      </c>
      <c r="G15" s="159">
        <v>52826</v>
      </c>
      <c r="H15" s="159">
        <v>71886</v>
      </c>
      <c r="I15" s="159">
        <v>73217</v>
      </c>
      <c r="J15" s="159">
        <v>74548</v>
      </c>
      <c r="K15" s="199">
        <v>75880</v>
      </c>
      <c r="L15" s="211">
        <v>75880</v>
      </c>
      <c r="M15" s="211">
        <v>50000</v>
      </c>
      <c r="N15" s="138"/>
    </row>
    <row r="16" spans="1:14" s="157" customFormat="1" ht="48.75" thickBot="1" x14ac:dyDescent="0.25">
      <c r="A16" s="160" t="s">
        <v>129</v>
      </c>
      <c r="B16" s="161">
        <f>SUM(B14,B15)</f>
        <v>20134392</v>
      </c>
      <c r="C16" s="161">
        <f t="shared" ref="C16:J16" si="6">SUM(C14,C15)</f>
        <v>21555345</v>
      </c>
      <c r="D16" s="161">
        <f t="shared" si="6"/>
        <v>22804827</v>
      </c>
      <c r="E16" s="161">
        <f t="shared" si="6"/>
        <v>23260924</v>
      </c>
      <c r="F16" s="161">
        <f t="shared" si="6"/>
        <v>23717020</v>
      </c>
      <c r="G16" s="161">
        <f t="shared" si="6"/>
        <v>24173116</v>
      </c>
      <c r="H16" s="161">
        <f t="shared" si="6"/>
        <v>31026634</v>
      </c>
      <c r="I16" s="161">
        <f t="shared" si="6"/>
        <v>39879966</v>
      </c>
      <c r="J16" s="161">
        <f t="shared" si="6"/>
        <v>42090106</v>
      </c>
      <c r="K16" s="200">
        <f>SUM(K14,K15)</f>
        <v>42837906</v>
      </c>
      <c r="L16" s="212">
        <v>42837906</v>
      </c>
      <c r="M16" s="212">
        <f>SUM(M14,M15)</f>
        <v>44719586.968376696</v>
      </c>
      <c r="N16" s="146" t="s">
        <v>130</v>
      </c>
    </row>
    <row r="17" spans="1:14" s="182" customFormat="1" ht="12.75" x14ac:dyDescent="0.2">
      <c r="A17" s="305" t="s">
        <v>131</v>
      </c>
      <c r="B17" s="306"/>
      <c r="C17" s="306"/>
      <c r="D17" s="306"/>
      <c r="E17" s="306"/>
      <c r="F17" s="306"/>
      <c r="G17" s="306"/>
      <c r="H17" s="306"/>
      <c r="I17" s="306"/>
      <c r="J17" s="306"/>
      <c r="K17" s="306"/>
      <c r="L17" s="246"/>
      <c r="M17" s="246"/>
      <c r="N17" s="138"/>
    </row>
    <row r="18" spans="1:14" s="149" customFormat="1" ht="25.5" x14ac:dyDescent="0.2">
      <c r="A18" s="147" t="s">
        <v>132</v>
      </c>
      <c r="B18" s="148">
        <v>12189729</v>
      </c>
      <c r="C18" s="148">
        <v>12772943</v>
      </c>
      <c r="D18" s="148">
        <v>12624949</v>
      </c>
      <c r="E18" s="148">
        <v>12877448</v>
      </c>
      <c r="F18" s="148">
        <v>13129947</v>
      </c>
      <c r="G18" s="148">
        <v>13382446</v>
      </c>
      <c r="H18" s="148">
        <v>18428549</v>
      </c>
      <c r="I18" s="148">
        <v>24059144</v>
      </c>
      <c r="J18" s="148">
        <v>25480034</v>
      </c>
      <c r="K18" s="196">
        <v>25935035</v>
      </c>
      <c r="L18" s="208">
        <v>25935035</v>
      </c>
      <c r="M18" s="208">
        <v>25990045.34</v>
      </c>
      <c r="N18" s="138"/>
    </row>
    <row r="19" spans="1:14" s="149" customFormat="1" ht="12.75" x14ac:dyDescent="0.2">
      <c r="A19" s="147" t="s">
        <v>133</v>
      </c>
      <c r="B19" s="148">
        <v>583211</v>
      </c>
      <c r="C19" s="148">
        <v>670529</v>
      </c>
      <c r="D19" s="148">
        <v>675846</v>
      </c>
      <c r="E19" s="148">
        <v>689363</v>
      </c>
      <c r="F19" s="148">
        <v>702880</v>
      </c>
      <c r="G19" s="148">
        <v>716397</v>
      </c>
      <c r="H19" s="148">
        <v>971780</v>
      </c>
      <c r="I19" s="148">
        <v>1220770</v>
      </c>
      <c r="J19" s="148">
        <v>1290219</v>
      </c>
      <c r="K19" s="196">
        <v>1319300</v>
      </c>
      <c r="L19" s="208">
        <v>1319300</v>
      </c>
      <c r="M19" s="208">
        <v>1187924</v>
      </c>
      <c r="N19" s="138"/>
    </row>
    <row r="20" spans="1:14" s="153" customFormat="1" ht="12.75" x14ac:dyDescent="0.25">
      <c r="A20" s="147" t="s">
        <v>134</v>
      </c>
      <c r="B20" s="162"/>
      <c r="C20" s="162"/>
      <c r="D20" s="162"/>
      <c r="E20" s="162"/>
      <c r="F20" s="162"/>
      <c r="G20" s="162"/>
      <c r="H20" s="162"/>
      <c r="I20" s="162"/>
      <c r="J20" s="162"/>
      <c r="K20" s="201"/>
      <c r="L20" s="234"/>
      <c r="M20" s="234"/>
      <c r="N20" s="163"/>
    </row>
    <row r="21" spans="1:14" s="149" customFormat="1" ht="24" x14ac:dyDescent="0.2">
      <c r="A21" s="147" t="s">
        <v>135</v>
      </c>
      <c r="B21" s="148"/>
      <c r="C21" s="148"/>
      <c r="D21" s="148"/>
      <c r="E21" s="148"/>
      <c r="F21" s="148"/>
      <c r="G21" s="148"/>
      <c r="H21" s="148">
        <v>1328683</v>
      </c>
      <c r="I21" s="148">
        <v>2621965</v>
      </c>
      <c r="J21" s="148">
        <v>2573162</v>
      </c>
      <c r="K21" s="196">
        <v>2522371</v>
      </c>
      <c r="L21" s="208">
        <v>2522371</v>
      </c>
      <c r="M21" s="208">
        <v>2675072</v>
      </c>
      <c r="N21" s="138" t="s">
        <v>172</v>
      </c>
    </row>
    <row r="22" spans="1:14" s="149" customFormat="1" ht="12.75" x14ac:dyDescent="0.2">
      <c r="A22" s="147" t="s">
        <v>136</v>
      </c>
      <c r="B22" s="148">
        <v>261883</v>
      </c>
      <c r="C22" s="148">
        <v>251665</v>
      </c>
      <c r="D22" s="148">
        <v>238109</v>
      </c>
      <c r="E22" s="148">
        <v>238109</v>
      </c>
      <c r="F22" s="148">
        <v>238109</v>
      </c>
      <c r="G22" s="148">
        <v>238109</v>
      </c>
      <c r="H22" s="148">
        <v>282100</v>
      </c>
      <c r="I22" s="148">
        <v>344271</v>
      </c>
      <c r="J22" s="148">
        <v>360491</v>
      </c>
      <c r="K22" s="196">
        <v>360491</v>
      </c>
      <c r="L22" s="208">
        <v>360491</v>
      </c>
      <c r="M22" s="208">
        <v>379028</v>
      </c>
      <c r="N22" s="138"/>
    </row>
    <row r="23" spans="1:14" s="149" customFormat="1" ht="12.75" x14ac:dyDescent="0.2">
      <c r="A23" s="147" t="s">
        <v>137</v>
      </c>
      <c r="B23" s="148"/>
      <c r="C23" s="148"/>
      <c r="D23" s="148"/>
      <c r="E23" s="148"/>
      <c r="F23" s="148"/>
      <c r="G23" s="148"/>
      <c r="H23" s="148">
        <v>1592830</v>
      </c>
      <c r="I23" s="148">
        <v>3185659</v>
      </c>
      <c r="J23" s="148">
        <v>3186659</v>
      </c>
      <c r="K23" s="196">
        <v>3186659</v>
      </c>
      <c r="L23" s="208">
        <v>3614868.2270105756</v>
      </c>
      <c r="M23" s="211">
        <v>3405084</v>
      </c>
      <c r="N23" s="149" t="s">
        <v>184</v>
      </c>
    </row>
    <row r="24" spans="1:14" s="157" customFormat="1" ht="12.75" x14ac:dyDescent="0.2">
      <c r="A24" s="147" t="s">
        <v>138</v>
      </c>
      <c r="B24" s="148"/>
      <c r="C24" s="148"/>
      <c r="D24" s="148"/>
      <c r="E24" s="148"/>
      <c r="F24" s="148"/>
      <c r="G24" s="148"/>
      <c r="H24" s="148"/>
      <c r="I24" s="148"/>
      <c r="J24" s="148"/>
      <c r="K24" s="196"/>
      <c r="L24" s="208"/>
      <c r="M24" s="208"/>
      <c r="N24" s="165"/>
    </row>
    <row r="25" spans="1:14" s="149" customFormat="1" ht="12.75" x14ac:dyDescent="0.2">
      <c r="A25" s="158" t="s">
        <v>139</v>
      </c>
      <c r="B25" s="148"/>
      <c r="C25" s="148"/>
      <c r="D25" s="148"/>
      <c r="E25" s="148"/>
      <c r="F25" s="148"/>
      <c r="G25" s="148"/>
      <c r="H25" s="148"/>
      <c r="I25" s="148"/>
      <c r="J25" s="148"/>
      <c r="K25" s="196"/>
      <c r="L25" s="208"/>
      <c r="M25" s="208"/>
      <c r="N25" s="138"/>
    </row>
    <row r="26" spans="1:14" s="182" customFormat="1" ht="12.75" x14ac:dyDescent="0.2">
      <c r="A26" s="147" t="s">
        <v>140</v>
      </c>
      <c r="B26" s="148">
        <v>1160064</v>
      </c>
      <c r="C26" s="148">
        <v>1188745</v>
      </c>
      <c r="D26" s="148">
        <v>1073747</v>
      </c>
      <c r="E26" s="148">
        <v>1095221</v>
      </c>
      <c r="F26" s="148">
        <v>1116696</v>
      </c>
      <c r="G26" s="148">
        <v>1138171</v>
      </c>
      <c r="H26" s="187">
        <v>1419437</v>
      </c>
      <c r="I26" s="187">
        <v>1656452</v>
      </c>
      <c r="J26" s="187">
        <v>1743910</v>
      </c>
      <c r="K26" s="244">
        <v>1775051</v>
      </c>
      <c r="L26" s="239">
        <v>1775051</v>
      </c>
      <c r="M26" s="239">
        <v>1995014</v>
      </c>
      <c r="N26" s="138"/>
    </row>
    <row r="27" spans="1:14" s="182" customFormat="1" ht="12" customHeight="1" x14ac:dyDescent="0.2">
      <c r="A27" s="147" t="s">
        <v>141</v>
      </c>
      <c r="B27" s="159">
        <v>1215046</v>
      </c>
      <c r="C27" s="159">
        <v>1266097</v>
      </c>
      <c r="D27" s="159">
        <v>1112457</v>
      </c>
      <c r="E27" s="159">
        <v>1134706</v>
      </c>
      <c r="F27" s="159">
        <v>1156955</v>
      </c>
      <c r="G27" s="159">
        <v>1179204</v>
      </c>
      <c r="H27" s="188">
        <v>127668</v>
      </c>
      <c r="I27" s="188">
        <v>329044</v>
      </c>
      <c r="J27" s="188">
        <v>421056</v>
      </c>
      <c r="K27" s="189">
        <v>428575</v>
      </c>
      <c r="L27" s="240">
        <v>428575</v>
      </c>
      <c r="M27" s="240">
        <v>740534</v>
      </c>
      <c r="N27" s="138"/>
    </row>
    <row r="28" spans="1:14" s="182" customFormat="1" ht="24" x14ac:dyDescent="0.2">
      <c r="A28" s="166" t="s">
        <v>142</v>
      </c>
      <c r="B28" s="167">
        <v>342362</v>
      </c>
      <c r="C28" s="167">
        <v>324198</v>
      </c>
      <c r="D28" s="167">
        <v>263193</v>
      </c>
      <c r="E28" s="167">
        <v>268457</v>
      </c>
      <c r="F28" s="167">
        <v>273721</v>
      </c>
      <c r="G28" s="167">
        <v>278985</v>
      </c>
      <c r="H28" s="188">
        <v>306425</v>
      </c>
      <c r="I28" s="188">
        <v>348387</v>
      </c>
      <c r="J28" s="188">
        <v>368843</v>
      </c>
      <c r="K28" s="189">
        <v>375430</v>
      </c>
      <c r="L28" s="240">
        <v>375430</v>
      </c>
      <c r="M28" s="240">
        <v>1187093</v>
      </c>
      <c r="N28" s="138" t="s">
        <v>186</v>
      </c>
    </row>
    <row r="29" spans="1:14" s="182" customFormat="1" ht="24" x14ac:dyDescent="0.2">
      <c r="A29" s="166" t="s">
        <v>143</v>
      </c>
      <c r="B29" s="167">
        <v>3558560</v>
      </c>
      <c r="C29" s="167">
        <v>3689788</v>
      </c>
      <c r="D29" s="167">
        <v>3223071</v>
      </c>
      <c r="E29" s="167">
        <v>3287532</v>
      </c>
      <c r="F29" s="167">
        <v>3351994</v>
      </c>
      <c r="G29" s="167">
        <v>3416455</v>
      </c>
      <c r="H29" s="188">
        <v>3480917</v>
      </c>
      <c r="I29" s="188">
        <v>3545378</v>
      </c>
      <c r="J29" s="188">
        <v>3609840</v>
      </c>
      <c r="K29" s="189">
        <v>3674301</v>
      </c>
      <c r="L29" s="240">
        <v>3674301</v>
      </c>
      <c r="M29" s="240">
        <v>5004243</v>
      </c>
      <c r="N29" s="138" t="s">
        <v>185</v>
      </c>
    </row>
    <row r="30" spans="1:14" s="149" customFormat="1" ht="36.75" thickBot="1" x14ac:dyDescent="0.25">
      <c r="A30" s="160" t="s">
        <v>144</v>
      </c>
      <c r="B30" s="169">
        <f>SUM(B18:B29)</f>
        <v>19310855</v>
      </c>
      <c r="C30" s="169">
        <f t="shared" ref="C30:K30" si="7">SUM(C18:C29)</f>
        <v>20163965</v>
      </c>
      <c r="D30" s="169">
        <f t="shared" si="7"/>
        <v>19211372</v>
      </c>
      <c r="E30" s="169">
        <f t="shared" si="7"/>
        <v>19590836</v>
      </c>
      <c r="F30" s="169">
        <f t="shared" si="7"/>
        <v>19970302</v>
      </c>
      <c r="G30" s="169">
        <f t="shared" si="7"/>
        <v>20349767</v>
      </c>
      <c r="H30" s="169">
        <f t="shared" si="7"/>
        <v>27938389</v>
      </c>
      <c r="I30" s="169">
        <f t="shared" si="7"/>
        <v>37311070</v>
      </c>
      <c r="J30" s="169">
        <f t="shared" si="7"/>
        <v>39034214</v>
      </c>
      <c r="K30" s="203">
        <f t="shared" si="7"/>
        <v>39577213</v>
      </c>
      <c r="L30" s="215">
        <v>40005422.227010578</v>
      </c>
      <c r="M30" s="215">
        <f t="shared" ref="M30" si="8">SUM(M18:M29)</f>
        <v>42564037.340000004</v>
      </c>
      <c r="N30" s="146" t="s">
        <v>145</v>
      </c>
    </row>
    <row r="31" spans="1:14" s="182" customFormat="1" ht="12.75" x14ac:dyDescent="0.2">
      <c r="A31" s="313" t="s">
        <v>146</v>
      </c>
      <c r="B31" s="314"/>
      <c r="C31" s="314"/>
      <c r="D31" s="314"/>
      <c r="E31" s="314"/>
      <c r="F31" s="314"/>
      <c r="G31" s="314"/>
      <c r="H31" s="314"/>
      <c r="I31" s="314"/>
      <c r="J31" s="314"/>
      <c r="K31" s="314"/>
      <c r="L31" s="247"/>
      <c r="M31" s="247"/>
      <c r="N31" s="138"/>
    </row>
    <row r="32" spans="1:14" s="149" customFormat="1" ht="36" x14ac:dyDescent="0.2">
      <c r="A32" s="170" t="s">
        <v>147</v>
      </c>
      <c r="B32" s="171">
        <f t="shared" ref="B32:J32" si="9">SUM(B16-B30)</f>
        <v>823537</v>
      </c>
      <c r="C32" s="171">
        <f t="shared" si="9"/>
        <v>1391380</v>
      </c>
      <c r="D32" s="171">
        <f t="shared" si="9"/>
        <v>3593455</v>
      </c>
      <c r="E32" s="171">
        <f t="shared" si="9"/>
        <v>3670088</v>
      </c>
      <c r="F32" s="171">
        <f t="shared" si="9"/>
        <v>3746718</v>
      </c>
      <c r="G32" s="171">
        <f t="shared" si="9"/>
        <v>3823349</v>
      </c>
      <c r="H32" s="171">
        <f t="shared" si="9"/>
        <v>3088245</v>
      </c>
      <c r="I32" s="171">
        <f t="shared" si="9"/>
        <v>2568896</v>
      </c>
      <c r="J32" s="171">
        <f t="shared" si="9"/>
        <v>3055892</v>
      </c>
      <c r="K32" s="204">
        <f>SUM(K16-K30)</f>
        <v>3260693</v>
      </c>
      <c r="L32" s="217">
        <v>2832483.7729894221</v>
      </c>
      <c r="M32" s="217">
        <f>SUM(M16-M30)</f>
        <v>2155549.6283766925</v>
      </c>
      <c r="N32" s="146" t="s">
        <v>148</v>
      </c>
    </row>
    <row r="33" spans="1:14" s="149" customFormat="1" ht="12.75" x14ac:dyDescent="0.2">
      <c r="A33" s="154" t="s">
        <v>168</v>
      </c>
      <c r="B33" s="148"/>
      <c r="C33" s="148"/>
      <c r="D33" s="148"/>
      <c r="E33" s="148"/>
      <c r="F33" s="148"/>
      <c r="G33" s="148"/>
      <c r="H33" s="148"/>
      <c r="I33" s="148"/>
      <c r="J33" s="148"/>
      <c r="K33" s="196"/>
      <c r="L33" s="238"/>
      <c r="M33" s="238"/>
      <c r="N33" s="138"/>
    </row>
    <row r="34" spans="1:14" s="172" customFormat="1" ht="24" x14ac:dyDescent="0.25">
      <c r="A34" s="151" t="s">
        <v>25</v>
      </c>
      <c r="B34" s="156">
        <f>SUM(B32:B33)</f>
        <v>823537</v>
      </c>
      <c r="C34" s="156">
        <f t="shared" ref="C34:M34" si="10">SUM(C32:C33)</f>
        <v>1391380</v>
      </c>
      <c r="D34" s="156">
        <f t="shared" si="10"/>
        <v>3593455</v>
      </c>
      <c r="E34" s="156">
        <f t="shared" si="10"/>
        <v>3670088</v>
      </c>
      <c r="F34" s="156">
        <f t="shared" si="10"/>
        <v>3746718</v>
      </c>
      <c r="G34" s="156">
        <f t="shared" si="10"/>
        <v>3823349</v>
      </c>
      <c r="H34" s="156">
        <f t="shared" si="10"/>
        <v>3088245</v>
      </c>
      <c r="I34" s="156">
        <f t="shared" si="10"/>
        <v>2568896</v>
      </c>
      <c r="J34" s="156">
        <f t="shared" si="10"/>
        <v>3055892</v>
      </c>
      <c r="K34" s="198">
        <f t="shared" si="10"/>
        <v>3260693</v>
      </c>
      <c r="L34" s="210">
        <v>2832483.7729894221</v>
      </c>
      <c r="M34" s="210">
        <f t="shared" si="10"/>
        <v>2155549.6283766925</v>
      </c>
      <c r="N34" s="146" t="s">
        <v>150</v>
      </c>
    </row>
    <row r="35" spans="1:14" s="149" customFormat="1" ht="12.75" x14ac:dyDescent="0.2">
      <c r="A35" s="154" t="s">
        <v>151</v>
      </c>
      <c r="B35" s="148"/>
      <c r="C35" s="148"/>
      <c r="D35" s="148"/>
      <c r="E35" s="148"/>
      <c r="F35" s="148"/>
      <c r="G35" s="148"/>
      <c r="H35" s="148"/>
      <c r="I35" s="148"/>
      <c r="J35" s="148"/>
      <c r="K35" s="196"/>
      <c r="L35" s="238"/>
      <c r="M35" s="238"/>
      <c r="N35" s="138"/>
    </row>
    <row r="36" spans="1:14" s="157" customFormat="1" ht="36.75" thickBot="1" x14ac:dyDescent="0.25">
      <c r="A36" s="160" t="s">
        <v>152</v>
      </c>
      <c r="B36" s="161">
        <f>SUM(B34-B35)</f>
        <v>823537</v>
      </c>
      <c r="C36" s="161">
        <f t="shared" ref="C36:M36" si="11">SUM(C34-C35)</f>
        <v>1391380</v>
      </c>
      <c r="D36" s="161">
        <f t="shared" si="11"/>
        <v>3593455</v>
      </c>
      <c r="E36" s="161">
        <f t="shared" si="11"/>
        <v>3670088</v>
      </c>
      <c r="F36" s="161">
        <f t="shared" si="11"/>
        <v>3746718</v>
      </c>
      <c r="G36" s="161">
        <f t="shared" si="11"/>
        <v>3823349</v>
      </c>
      <c r="H36" s="161">
        <f t="shared" si="11"/>
        <v>3088245</v>
      </c>
      <c r="I36" s="161">
        <f t="shared" si="11"/>
        <v>2568896</v>
      </c>
      <c r="J36" s="161">
        <f t="shared" si="11"/>
        <v>3055892</v>
      </c>
      <c r="K36" s="200">
        <f t="shared" si="11"/>
        <v>3260693</v>
      </c>
      <c r="L36" s="212">
        <v>2832483.7729894221</v>
      </c>
      <c r="M36" s="212">
        <f t="shared" si="11"/>
        <v>2155549.6283766925</v>
      </c>
      <c r="N36" s="146" t="s">
        <v>153</v>
      </c>
    </row>
    <row r="37" spans="1:14" s="182" customFormat="1" ht="12.75" x14ac:dyDescent="0.2">
      <c r="A37" s="315" t="s">
        <v>154</v>
      </c>
      <c r="B37" s="316"/>
      <c r="C37" s="316"/>
      <c r="D37" s="316"/>
      <c r="E37" s="316"/>
      <c r="F37" s="316"/>
      <c r="G37" s="316"/>
      <c r="H37" s="316"/>
      <c r="I37" s="316"/>
      <c r="J37" s="316"/>
      <c r="K37" s="316"/>
      <c r="L37" s="248"/>
      <c r="M37" s="248"/>
      <c r="N37" s="138"/>
    </row>
    <row r="38" spans="1:14" s="185" customFormat="1" ht="12.75" x14ac:dyDescent="0.2">
      <c r="A38" s="317" t="s">
        <v>155</v>
      </c>
      <c r="B38" s="293"/>
      <c r="C38" s="293"/>
      <c r="D38" s="293"/>
      <c r="E38" s="293"/>
      <c r="F38" s="293"/>
      <c r="G38" s="293"/>
      <c r="H38" s="293"/>
      <c r="I38" s="293"/>
      <c r="J38" s="293"/>
      <c r="K38" s="293"/>
      <c r="L38" s="241"/>
      <c r="M38" s="241"/>
      <c r="N38" s="173"/>
    </row>
    <row r="39" spans="1:14" s="149" customFormat="1" ht="24" x14ac:dyDescent="0.2">
      <c r="A39" s="175" t="s">
        <v>156</v>
      </c>
      <c r="B39" s="176">
        <v>0.14699999999999999</v>
      </c>
      <c r="C39" s="176">
        <v>0.14899999999999999</v>
      </c>
      <c r="D39" s="176">
        <v>0.14799999999999999</v>
      </c>
      <c r="E39" s="176">
        <v>0.14799999999999999</v>
      </c>
      <c r="F39" s="176">
        <v>0.14799999999999999</v>
      </c>
      <c r="G39" s="176">
        <v>0.14799999999999999</v>
      </c>
      <c r="H39" s="176">
        <v>0.183</v>
      </c>
      <c r="I39" s="176">
        <v>0.20599999999999999</v>
      </c>
      <c r="J39" s="176">
        <v>0.2</v>
      </c>
      <c r="K39" s="236">
        <v>0.214</v>
      </c>
      <c r="L39" s="242">
        <v>0.214</v>
      </c>
      <c r="M39" s="242">
        <v>0.11</v>
      </c>
      <c r="N39" s="138" t="s">
        <v>187</v>
      </c>
    </row>
    <row r="40" spans="1:14" s="149" customFormat="1" ht="12.75" x14ac:dyDescent="0.2">
      <c r="A40" s="175" t="s">
        <v>157</v>
      </c>
      <c r="B40" s="176">
        <v>0.379</v>
      </c>
      <c r="C40" s="176">
        <v>0.378</v>
      </c>
      <c r="D40" s="176">
        <v>0.38</v>
      </c>
      <c r="E40" s="176">
        <v>0.38</v>
      </c>
      <c r="F40" s="176">
        <v>0.38</v>
      </c>
      <c r="G40" s="176">
        <v>0.38</v>
      </c>
      <c r="H40" s="176">
        <v>0.32200000000000001</v>
      </c>
      <c r="I40" s="176">
        <v>0.28499999999999998</v>
      </c>
      <c r="J40" s="176">
        <v>0.29099999999999998</v>
      </c>
      <c r="K40" s="236">
        <v>0.3</v>
      </c>
      <c r="L40" s="242">
        <v>0.3</v>
      </c>
      <c r="M40" s="242">
        <v>0.51</v>
      </c>
      <c r="N40" s="138"/>
    </row>
    <row r="41" spans="1:14" s="149" customFormat="1" ht="12.75" x14ac:dyDescent="0.2">
      <c r="A41" s="175" t="s">
        <v>158</v>
      </c>
      <c r="B41" s="176">
        <v>0.189</v>
      </c>
      <c r="C41" s="176">
        <v>0.188</v>
      </c>
      <c r="D41" s="176">
        <v>0.188</v>
      </c>
      <c r="E41" s="176">
        <v>0.188</v>
      </c>
      <c r="F41" s="176">
        <v>0.188</v>
      </c>
      <c r="G41" s="176">
        <v>0.188</v>
      </c>
      <c r="H41" s="176">
        <v>0.20200000000000001</v>
      </c>
      <c r="I41" s="176">
        <v>0.21099999999999999</v>
      </c>
      <c r="J41" s="176">
        <v>0.21</v>
      </c>
      <c r="K41" s="236">
        <v>0.19900000000000001</v>
      </c>
      <c r="L41" s="242">
        <v>0.19900000000000001</v>
      </c>
      <c r="M41" s="242">
        <v>0.14000000000000001</v>
      </c>
      <c r="N41" s="138"/>
    </row>
    <row r="42" spans="1:14" s="149" customFormat="1" ht="12.75" x14ac:dyDescent="0.2">
      <c r="A42" s="175" t="s">
        <v>159</v>
      </c>
      <c r="B42" s="176">
        <v>0.20799999999999999</v>
      </c>
      <c r="C42" s="176">
        <v>0.20799999999999999</v>
      </c>
      <c r="D42" s="176">
        <v>0.20699999999999999</v>
      </c>
      <c r="E42" s="176">
        <v>0.20699999999999999</v>
      </c>
      <c r="F42" s="176">
        <v>0.20699999999999999</v>
      </c>
      <c r="G42" s="176">
        <v>0.20699999999999999</v>
      </c>
      <c r="H42" s="176">
        <v>0.224</v>
      </c>
      <c r="I42" s="176">
        <v>0.23400000000000001</v>
      </c>
      <c r="J42" s="176">
        <v>0.23300000000000001</v>
      </c>
      <c r="K42" s="236">
        <v>0.22</v>
      </c>
      <c r="L42" s="242">
        <v>0.22</v>
      </c>
      <c r="M42" s="242">
        <v>0.17</v>
      </c>
      <c r="N42" s="138"/>
    </row>
    <row r="43" spans="1:14" s="149" customFormat="1" ht="12.75" x14ac:dyDescent="0.2">
      <c r="A43" s="175" t="s">
        <v>160</v>
      </c>
      <c r="B43" s="176">
        <v>5.1999999999999998E-2</v>
      </c>
      <c r="C43" s="176">
        <v>5.1999999999999998E-2</v>
      </c>
      <c r="D43" s="176">
        <v>5.1999999999999998E-2</v>
      </c>
      <c r="E43" s="176">
        <v>5.1999999999999998E-2</v>
      </c>
      <c r="F43" s="176">
        <v>5.1999999999999998E-2</v>
      </c>
      <c r="G43" s="176">
        <v>5.1999999999999998E-2</v>
      </c>
      <c r="H43" s="176">
        <v>4.3999999999999997E-2</v>
      </c>
      <c r="I43" s="176">
        <v>3.7999999999999999E-2</v>
      </c>
      <c r="J43" s="176">
        <v>0.04</v>
      </c>
      <c r="K43" s="236">
        <v>4.2999999999999997E-2</v>
      </c>
      <c r="L43" s="242">
        <v>4.2999999999999997E-2</v>
      </c>
      <c r="M43" s="242">
        <v>0.04</v>
      </c>
      <c r="N43" s="138"/>
    </row>
    <row r="44" spans="1:14" s="149" customFormat="1" ht="12.75" x14ac:dyDescent="0.2">
      <c r="A44" s="175" t="s">
        <v>161</v>
      </c>
      <c r="B44" s="176">
        <v>2.5000000000000001E-2</v>
      </c>
      <c r="C44" s="176">
        <v>2.5000000000000001E-2</v>
      </c>
      <c r="D44" s="176">
        <v>2.5000000000000001E-2</v>
      </c>
      <c r="E44" s="176">
        <v>2.5000000000000001E-2</v>
      </c>
      <c r="F44" s="176">
        <v>2.5000000000000001E-2</v>
      </c>
      <c r="G44" s="176">
        <v>2.5000000000000001E-2</v>
      </c>
      <c r="H44" s="176">
        <v>2.5999999999999999E-2</v>
      </c>
      <c r="I44" s="176">
        <v>2.5999999999999999E-2</v>
      </c>
      <c r="J44" s="176">
        <v>2.5999999999999999E-2</v>
      </c>
      <c r="K44" s="236">
        <v>2.4E-2</v>
      </c>
      <c r="L44" s="242">
        <v>2.4E-2</v>
      </c>
      <c r="M44" s="242">
        <v>0.03</v>
      </c>
      <c r="N44" s="138"/>
    </row>
    <row r="45" spans="1:14" s="157" customFormat="1" ht="24.75" thickBot="1" x14ac:dyDescent="0.25">
      <c r="A45" s="177" t="s">
        <v>162</v>
      </c>
      <c r="B45" s="178">
        <f>SUM(B39:B44)</f>
        <v>1</v>
      </c>
      <c r="C45" s="178">
        <f t="shared" ref="C45:K45" si="12">SUM(C39:C44)</f>
        <v>1</v>
      </c>
      <c r="D45" s="178">
        <f t="shared" si="12"/>
        <v>1</v>
      </c>
      <c r="E45" s="178">
        <f t="shared" si="12"/>
        <v>1</v>
      </c>
      <c r="F45" s="178">
        <f t="shared" si="12"/>
        <v>1</v>
      </c>
      <c r="G45" s="178">
        <f t="shared" si="12"/>
        <v>1</v>
      </c>
      <c r="H45" s="178">
        <f t="shared" si="12"/>
        <v>1.0010000000000001</v>
      </c>
      <c r="I45" s="178">
        <f t="shared" si="12"/>
        <v>1</v>
      </c>
      <c r="J45" s="178">
        <f t="shared" si="12"/>
        <v>1</v>
      </c>
      <c r="K45" s="237">
        <f t="shared" si="12"/>
        <v>1</v>
      </c>
      <c r="L45" s="243">
        <v>1</v>
      </c>
      <c r="M45" s="243">
        <f t="shared" ref="M45" si="13">SUM(M39:M44)</f>
        <v>1</v>
      </c>
      <c r="N45" s="146" t="s">
        <v>163</v>
      </c>
    </row>
    <row r="46" spans="1:14" s="185" customFormat="1" ht="12.75" x14ac:dyDescent="0.2">
      <c r="A46" s="294" t="s">
        <v>164</v>
      </c>
      <c r="B46" s="291"/>
      <c r="C46" s="291"/>
      <c r="D46" s="291"/>
      <c r="E46" s="291"/>
      <c r="F46" s="291"/>
      <c r="G46" s="291"/>
      <c r="H46" s="291"/>
      <c r="I46" s="291"/>
      <c r="J46" s="291"/>
      <c r="K46" s="291"/>
      <c r="L46" s="241"/>
      <c r="M46" s="241"/>
      <c r="N46" s="163"/>
    </row>
    <row r="47" spans="1:14" s="190" customFormat="1" ht="12.75" x14ac:dyDescent="0.25">
      <c r="A47" s="318" t="s">
        <v>169</v>
      </c>
      <c r="B47" s="293"/>
      <c r="C47" s="293"/>
      <c r="D47" s="293"/>
      <c r="E47" s="293"/>
      <c r="F47" s="293"/>
      <c r="G47" s="293"/>
      <c r="H47" s="293"/>
      <c r="I47" s="293"/>
      <c r="J47" s="293"/>
      <c r="K47" s="293"/>
      <c r="L47" s="241"/>
      <c r="M47" s="241"/>
      <c r="N47" s="138"/>
    </row>
    <row r="48" spans="1:14" s="149" customFormat="1" ht="12.75" x14ac:dyDescent="0.2">
      <c r="A48" s="175" t="s">
        <v>156</v>
      </c>
      <c r="B48" s="176">
        <v>0.14799999999999999</v>
      </c>
      <c r="C48" s="176">
        <v>0.15</v>
      </c>
      <c r="D48" s="176">
        <v>0.15</v>
      </c>
      <c r="E48" s="176">
        <v>0.15</v>
      </c>
      <c r="F48" s="176">
        <v>0.15</v>
      </c>
      <c r="G48" s="176">
        <v>0.15</v>
      </c>
      <c r="H48" s="176">
        <v>0.191</v>
      </c>
      <c r="I48" s="176">
        <v>0.221</v>
      </c>
      <c r="J48" s="176">
        <v>0.214</v>
      </c>
      <c r="K48" s="236">
        <v>0.214</v>
      </c>
      <c r="L48" s="242">
        <v>0.214</v>
      </c>
      <c r="M48" s="242">
        <v>0.11</v>
      </c>
      <c r="N48" s="138"/>
    </row>
    <row r="49" spans="1:14" s="149" customFormat="1" ht="12.75" customHeight="1" x14ac:dyDescent="0.2">
      <c r="A49" s="175" t="s">
        <v>157</v>
      </c>
      <c r="B49" s="176">
        <v>0.377</v>
      </c>
      <c r="C49" s="176">
        <v>0.376</v>
      </c>
      <c r="D49" s="176">
        <v>0.376</v>
      </c>
      <c r="E49" s="176">
        <v>0.376</v>
      </c>
      <c r="F49" s="176">
        <v>0.376</v>
      </c>
      <c r="G49" s="176">
        <v>0.376</v>
      </c>
      <c r="H49" s="176">
        <v>0.32800000000000001</v>
      </c>
      <c r="I49" s="176">
        <v>0.29399999999999998</v>
      </c>
      <c r="J49" s="176">
        <v>0.3</v>
      </c>
      <c r="K49" s="236">
        <v>0.3</v>
      </c>
      <c r="L49" s="242">
        <v>0.3</v>
      </c>
      <c r="M49" s="242">
        <v>0.51</v>
      </c>
      <c r="N49" s="138"/>
    </row>
    <row r="50" spans="1:14" s="149" customFormat="1" ht="12.75" x14ac:dyDescent="0.2">
      <c r="A50" s="175" t="s">
        <v>158</v>
      </c>
      <c r="B50" s="176">
        <v>0.19</v>
      </c>
      <c r="C50" s="176">
        <v>0.189</v>
      </c>
      <c r="D50" s="176">
        <v>0.189</v>
      </c>
      <c r="E50" s="176">
        <v>0.189</v>
      </c>
      <c r="F50" s="176">
        <v>0.189</v>
      </c>
      <c r="G50" s="176">
        <v>0.189</v>
      </c>
      <c r="H50" s="176">
        <v>0.19500000000000001</v>
      </c>
      <c r="I50" s="176">
        <v>0.19900000000000001</v>
      </c>
      <c r="J50" s="176">
        <v>0.19900000000000001</v>
      </c>
      <c r="K50" s="236">
        <v>0.19900000000000001</v>
      </c>
      <c r="L50" s="242">
        <v>0.19900000000000001</v>
      </c>
      <c r="M50" s="242">
        <v>0.14000000000000001</v>
      </c>
      <c r="N50" s="138"/>
    </row>
    <row r="51" spans="1:14" s="149" customFormat="1" ht="12.75" x14ac:dyDescent="0.2">
      <c r="A51" s="175" t="s">
        <v>159</v>
      </c>
      <c r="B51" s="176">
        <v>0.20899999999999999</v>
      </c>
      <c r="C51" s="176">
        <v>0.20799999999999999</v>
      </c>
      <c r="D51" s="176">
        <v>0.20799999999999999</v>
      </c>
      <c r="E51" s="176">
        <v>0.20799999999999999</v>
      </c>
      <c r="F51" s="176">
        <v>0.20799999999999999</v>
      </c>
      <c r="G51" s="176">
        <v>0.20799999999999999</v>
      </c>
      <c r="H51" s="176">
        <v>0.216</v>
      </c>
      <c r="I51" s="176">
        <v>0.22</v>
      </c>
      <c r="J51" s="176">
        <v>0.22</v>
      </c>
      <c r="K51" s="236">
        <v>0.22</v>
      </c>
      <c r="L51" s="242">
        <v>0.22</v>
      </c>
      <c r="M51" s="242">
        <v>0.17</v>
      </c>
      <c r="N51" s="138"/>
    </row>
    <row r="52" spans="1:14" s="149" customFormat="1" ht="12.75" x14ac:dyDescent="0.2">
      <c r="A52" s="175" t="s">
        <v>160</v>
      </c>
      <c r="B52" s="176">
        <v>5.0999999999999997E-2</v>
      </c>
      <c r="C52" s="176">
        <v>5.1999999999999998E-2</v>
      </c>
      <c r="D52" s="176">
        <v>5.1999999999999998E-2</v>
      </c>
      <c r="E52" s="176">
        <v>5.1999999999999998E-2</v>
      </c>
      <c r="F52" s="176">
        <v>5.1999999999999998E-2</v>
      </c>
      <c r="G52" s="176">
        <v>5.1999999999999998E-2</v>
      </c>
      <c r="H52" s="176">
        <v>4.5999999999999999E-2</v>
      </c>
      <c r="I52" s="176">
        <v>4.2000000000000003E-2</v>
      </c>
      <c r="J52" s="176">
        <v>4.2999999999999997E-2</v>
      </c>
      <c r="K52" s="236">
        <v>4.2999999999999997E-2</v>
      </c>
      <c r="L52" s="242">
        <v>4.2999999999999997E-2</v>
      </c>
      <c r="M52" s="242">
        <v>0.04</v>
      </c>
      <c r="N52" s="138"/>
    </row>
    <row r="53" spans="1:14" s="149" customFormat="1" ht="12.75" x14ac:dyDescent="0.2">
      <c r="A53" s="175" t="s">
        <v>161</v>
      </c>
      <c r="B53" s="176">
        <v>2.5000000000000001E-2</v>
      </c>
      <c r="C53" s="176">
        <v>2.5000000000000001E-2</v>
      </c>
      <c r="D53" s="176">
        <v>2.5000000000000001E-2</v>
      </c>
      <c r="E53" s="176">
        <v>2.5000000000000001E-2</v>
      </c>
      <c r="F53" s="176">
        <v>2.5000000000000001E-2</v>
      </c>
      <c r="G53" s="176">
        <v>2.5000000000000001E-2</v>
      </c>
      <c r="H53" s="176">
        <v>2.4E-2</v>
      </c>
      <c r="I53" s="176">
        <v>2.4E-2</v>
      </c>
      <c r="J53" s="176">
        <v>2.4E-2</v>
      </c>
      <c r="K53" s="236">
        <v>2.4E-2</v>
      </c>
      <c r="L53" s="242">
        <v>2.4E-2</v>
      </c>
      <c r="M53" s="242">
        <v>0.03</v>
      </c>
      <c r="N53" s="191"/>
    </row>
    <row r="54" spans="1:14" s="157" customFormat="1" ht="24.75" thickBot="1" x14ac:dyDescent="0.25">
      <c r="A54" s="177" t="s">
        <v>162</v>
      </c>
      <c r="B54" s="178">
        <f>SUM(B48:B53)</f>
        <v>1</v>
      </c>
      <c r="C54" s="178">
        <f t="shared" ref="C54:K54" si="14">SUM(C48:C53)</f>
        <v>1</v>
      </c>
      <c r="D54" s="178">
        <f t="shared" si="14"/>
        <v>1</v>
      </c>
      <c r="E54" s="178">
        <f t="shared" si="14"/>
        <v>1</v>
      </c>
      <c r="F54" s="178">
        <f t="shared" si="14"/>
        <v>1</v>
      </c>
      <c r="G54" s="178">
        <f t="shared" si="14"/>
        <v>1</v>
      </c>
      <c r="H54" s="178">
        <f t="shared" si="14"/>
        <v>1</v>
      </c>
      <c r="I54" s="178">
        <f t="shared" si="14"/>
        <v>1</v>
      </c>
      <c r="J54" s="178">
        <f t="shared" si="14"/>
        <v>1</v>
      </c>
      <c r="K54" s="237">
        <f t="shared" si="14"/>
        <v>1</v>
      </c>
      <c r="L54" s="243">
        <v>1</v>
      </c>
      <c r="M54" s="243">
        <f t="shared" ref="M54" si="15">SUM(M48:M53)</f>
        <v>1</v>
      </c>
      <c r="N54" s="146" t="s">
        <v>165</v>
      </c>
    </row>
    <row r="55" spans="1:14" s="139" customFormat="1" ht="12.75" x14ac:dyDescent="0.2">
      <c r="A55" s="179"/>
      <c r="B55" s="179"/>
      <c r="C55" s="179"/>
      <c r="D55" s="179"/>
      <c r="E55" s="179"/>
      <c r="F55" s="179"/>
      <c r="G55" s="179"/>
      <c r="H55" s="179"/>
      <c r="I55" s="179"/>
      <c r="J55" s="179"/>
      <c r="K55" s="179"/>
      <c r="L55" s="179"/>
      <c r="M55" s="179"/>
      <c r="N55" s="138"/>
    </row>
    <row r="56" spans="1:14" s="139" customFormat="1" ht="12.75" x14ac:dyDescent="0.2">
      <c r="A56" s="179"/>
      <c r="B56" s="179"/>
      <c r="C56" s="179"/>
      <c r="D56" s="179"/>
      <c r="E56" s="179"/>
      <c r="F56" s="179"/>
      <c r="G56" s="179"/>
      <c r="H56" s="179"/>
      <c r="I56" s="179"/>
      <c r="J56" s="179"/>
      <c r="K56" s="179"/>
      <c r="L56" s="179"/>
      <c r="M56" s="179"/>
      <c r="N56" s="138"/>
    </row>
    <row r="57" spans="1:14" x14ac:dyDescent="0.2">
      <c r="A57" s="180"/>
      <c r="B57" s="180"/>
      <c r="C57" s="180"/>
      <c r="D57" s="180"/>
      <c r="E57" s="180"/>
      <c r="F57" s="180"/>
      <c r="G57" s="180"/>
      <c r="H57" s="180"/>
      <c r="I57" s="180"/>
      <c r="J57" s="180"/>
      <c r="K57" s="180"/>
      <c r="L57" s="180"/>
      <c r="M57" s="180"/>
    </row>
  </sheetData>
  <sheetProtection formatCells="0" formatColumns="0" formatRows="0" insertColumns="0" insertRows="0" deleteColumns="0" deleteRows="0" selectLockedCells="1"/>
  <mergeCells count="11">
    <mergeCell ref="A31:K31"/>
    <mergeCell ref="A37:K37"/>
    <mergeCell ref="A38:K38"/>
    <mergeCell ref="A46:K46"/>
    <mergeCell ref="A47:K47"/>
    <mergeCell ref="A17:K17"/>
    <mergeCell ref="A1:K1"/>
    <mergeCell ref="A2:K2"/>
    <mergeCell ref="B3:C3"/>
    <mergeCell ref="E3:K3"/>
    <mergeCell ref="A5:K5"/>
  </mergeCells>
  <printOptions horizontalCentered="1"/>
  <pageMargins left="0.7" right="0.7" top="1.2" bottom="0.75" header="0.3" footer="0.3"/>
  <pageSetup scale="67" fitToHeight="0" orientation="landscape" r:id="rId1"/>
  <headerFooter>
    <oddFooter>&amp;CTABLE H. REVENUES &amp; EXPENSES, INFLATED - ENTIRE FACILITY</oddFooter>
  </headerFooter>
  <rowBreaks count="1" manualBreakCount="1">
    <brk id="36" max="12" man="1"/>
  </rowBreaks>
  <colBreaks count="1" manualBreakCount="1">
    <brk id="13" max="9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E. Project Budget</vt:lpstr>
      <vt:lpstr>G. Entire Facility - Uninfl</vt:lpstr>
      <vt:lpstr>H. Entire Facility - Inflat</vt:lpstr>
      <vt:lpstr>'E. Project Budget'!Print_Area</vt:lpstr>
      <vt:lpstr>'G. Entire Facility - Uninfl'!Print_Area</vt:lpstr>
      <vt:lpstr>'H. Entire Facility - Inflat'!Print_Area</vt:lpstr>
      <vt:lpstr>'E. Project Budget'!Print_Titles</vt:lpstr>
      <vt:lpstr>'G. Entire Facility - Uninfl'!Print_Titles</vt:lpstr>
      <vt:lpstr>'H. Entire Facility - Inflat'!Print_Titles</vt:lpstr>
    </vt:vector>
  </TitlesOfParts>
  <Company>Gallagher, Evelius &amp; Jones,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Dame</dc:creator>
  <cp:lastModifiedBy>Ruby Potter</cp:lastModifiedBy>
  <cp:lastPrinted>2021-06-08T13:54:00Z</cp:lastPrinted>
  <dcterms:created xsi:type="dcterms:W3CDTF">2021-02-02T22:40:59Z</dcterms:created>
  <dcterms:modified xsi:type="dcterms:W3CDTF">2021-06-15T20:04:17Z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20210608122109507</vt:lpwstr>
  </property>
</Properties>
</file>